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64" activeTab="0"/>
  </bookViews>
  <sheets>
    <sheet name="Summary" sheetId="1" r:id="rId1"/>
    <sheet name="Minors" sheetId="2" r:id="rId2"/>
    <sheet name="Adkisson" sheetId="3" r:id="rId3"/>
    <sheet name="Barklage" sheetId="4" r:id="rId4"/>
    <sheet name="Barton" sheetId="5" r:id="rId5"/>
    <sheet name="Berdie" sheetId="6" r:id="rId6"/>
    <sheet name="Biegler" sheetId="7" r:id="rId7"/>
    <sheet name="Cadmus" sheetId="8" r:id="rId8"/>
    <sheet name="Chaplin" sheetId="9" r:id="rId9"/>
    <sheet name="Chockalingam" sheetId="10" r:id="rId10"/>
    <sheet name="Fernald" sheetId="11" r:id="rId11"/>
    <sheet name="Jagot" sheetId="12" r:id="rId12"/>
    <sheet name="Kumar" sheetId="13" r:id="rId13"/>
    <sheet name="Losurdo" sheetId="14" r:id="rId14"/>
    <sheet name="Rittenhouse" sheetId="15" r:id="rId15"/>
    <sheet name="Schaefer" sheetId="16" r:id="rId16"/>
    <sheet name="Uberoi" sheetId="17" r:id="rId17"/>
    <sheet name="Wilt" sheetId="18" r:id="rId18"/>
    <sheet name="WoodfordB" sheetId="19" r:id="rId19"/>
    <sheet name="WoodfordW" sheetId="20" r:id="rId20"/>
  </sheets>
  <definedNames/>
  <calcPr fullCalcOnLoad="1"/>
</workbook>
</file>

<file path=xl/sharedStrings.xml><?xml version="1.0" encoding="utf-8"?>
<sst xmlns="http://schemas.openxmlformats.org/spreadsheetml/2006/main" count="3365" uniqueCount="814">
  <si>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</si>
  <si>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</si>
  <si>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</si>
  <si>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</si>
  <si>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</si>
  <si>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</si>
  <si>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</si>
  <si>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</si>
  <si>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Dave Cadmus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</si>
  <si>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</si>
  <si>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</si>
  <si>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</si>
  <si>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</si>
  <si>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</si>
  <si>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</si>
  <si>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</si>
  <si>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</si>
  <si>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</si>
  <si>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</si>
  <si>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</si>
  <si>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</si>
  <si>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</si>
  <si>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</si>
  <si>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</si>
  <si>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</si>
  <si>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</si>
  <si>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</si>
  <si>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</si>
  <si>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</si>
  <si>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</si>
  <si>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</si>
  <si>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</si>
  <si>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</si>
  <si>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</si>
  <si>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</si>
  <si>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</si>
  <si>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</si>
  <si>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</si>
  <si>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</si>
  <si>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</si>
  <si>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Col</t>
  </si>
  <si>
    <t>2B</t>
  </si>
  <si>
    <t>BASEBALL  TEAM  SALARIES</t>
  </si>
  <si>
    <t>Mil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</si>
  <si>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</si>
  <si>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</si>
  <si>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</si>
  <si>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</si>
  <si>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</si>
  <si>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</si>
  <si>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</si>
  <si>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</si>
  <si>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</si>
  <si>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</si>
  <si>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</si>
  <si>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</si>
  <si>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</si>
  <si>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</si>
  <si>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</si>
  <si>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</si>
  <si>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</si>
  <si>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</si>
  <si>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</si>
  <si>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</si>
  <si>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</si>
  <si>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</si>
  <si>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</si>
  <si>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</si>
  <si>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</si>
  <si>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</si>
  <si>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</si>
  <si>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</si>
  <si>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</si>
  <si>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</si>
  <si>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</si>
  <si>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</si>
  <si>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</si>
  <si>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</si>
  <si>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</si>
  <si>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</si>
  <si>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</si>
  <si>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</si>
  <si>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</t>
  </si>
  <si>
    <t>Tejada, Miguel</t>
  </si>
  <si>
    <t>Meche, Gil</t>
  </si>
  <si>
    <t>Farnsworth, Kyle</t>
  </si>
  <si>
    <t>Uribe, Juan</t>
  </si>
  <si>
    <t>Davis, Doug</t>
  </si>
  <si>
    <t>Summary</t>
  </si>
  <si>
    <t>Active</t>
  </si>
  <si>
    <t>Waived</t>
  </si>
  <si>
    <t>Trade</t>
  </si>
  <si>
    <t>Exempt</t>
  </si>
  <si>
    <t>Was</t>
  </si>
  <si>
    <t>--</t>
  </si>
  <si>
    <t>Dotel, Octavio</t>
  </si>
  <si>
    <t>Werth, Jayson</t>
  </si>
  <si>
    <t>Arroyo, Bronson</t>
  </si>
  <si>
    <t>Matthews, Gary</t>
  </si>
  <si>
    <t>Mike Fernald</t>
  </si>
  <si>
    <t>---</t>
  </si>
  <si>
    <t>LAD</t>
  </si>
  <si>
    <t>Bedard, Erik</t>
  </si>
  <si>
    <t>Zito, Barry</t>
  </si>
  <si>
    <t>Baker, Scott</t>
  </si>
  <si>
    <t>Minor League Players</t>
  </si>
  <si>
    <t>Players Not on Yahoo</t>
  </si>
  <si>
    <t>Geoff Biegler</t>
  </si>
  <si>
    <t>Konerko, Paul</t>
  </si>
  <si>
    <t>Soriano, Alphonso</t>
  </si>
  <si>
    <t>Matsuzaka, Daisuke</t>
  </si>
  <si>
    <t>Ianetta, Chris</t>
  </si>
  <si>
    <t>Neshek, Pat</t>
  </si>
  <si>
    <t>Joey Losurdo</t>
  </si>
  <si>
    <t>Hensley, Clay</t>
  </si>
  <si>
    <t>K. Chockalingam</t>
  </si>
  <si>
    <t>LAA</t>
  </si>
  <si>
    <t>Holiday, Matt</t>
  </si>
  <si>
    <t>Rodriguez, Francisco</t>
  </si>
  <si>
    <t>Ramirez, Hanley</t>
  </si>
  <si>
    <t>Beltran, Carlos</t>
  </si>
  <si>
    <t>Price, David</t>
  </si>
  <si>
    <t>Wieters, Matt</t>
  </si>
  <si>
    <t>Chamberlain, Joba</t>
  </si>
  <si>
    <t>Cabrera, Miguel</t>
  </si>
  <si>
    <t>Pujols, Albert</t>
  </si>
  <si>
    <t>Reyes, Jose</t>
  </si>
  <si>
    <t>Harang, Aaron</t>
  </si>
  <si>
    <t>Hudson, Orlando</t>
  </si>
  <si>
    <t>Moustakas, Mike</t>
  </si>
  <si>
    <t>Renteria, Edgar</t>
  </si>
  <si>
    <t>Harden, Rich</t>
  </si>
  <si>
    <t>Guthrie, Jeremy</t>
  </si>
  <si>
    <t>Pena, Carlos</t>
  </si>
  <si>
    <t>Crawford, Carl</t>
  </si>
  <si>
    <t>Zambrano, Carlos</t>
  </si>
  <si>
    <t>Vidro, Jose</t>
  </si>
  <si>
    <t>Carmona, Fausto</t>
  </si>
  <si>
    <t>Andrus, Elvis</t>
  </si>
  <si>
    <t>LaPorta, Matt</t>
  </si>
  <si>
    <t>Wells, Vernon</t>
  </si>
  <si>
    <t>Young, Michael</t>
  </si>
  <si>
    <t>Wagner, Billy</t>
  </si>
  <si>
    <t>Fukudome, Kosuke</t>
  </si>
  <si>
    <t>Gonzalez, Gio</t>
  </si>
  <si>
    <t>Soria, Joakim</t>
  </si>
  <si>
    <t>Cueto, Johnny</t>
  </si>
  <si>
    <t>Shafer, Jordan</t>
  </si>
  <si>
    <t>Wilson, C.J.</t>
  </si>
  <si>
    <t>Floyd, Gavin</t>
  </si>
  <si>
    <t>Nix, Jayson</t>
  </si>
  <si>
    <t>Wainwright, Adam</t>
  </si>
  <si>
    <t>Marmol, Carlos</t>
  </si>
  <si>
    <t>Harris, Brendan</t>
  </si>
  <si>
    <t>Ankiel, Rick</t>
  </si>
  <si>
    <t>Accardo, Jeremy</t>
  </si>
  <si>
    <t>Wilson, Brian</t>
  </si>
  <si>
    <t>Cabrera, Melky</t>
  </si>
  <si>
    <t>Gomez, Carlos</t>
  </si>
  <si>
    <t>Hu, Chin-lung</t>
  </si>
  <si>
    <t>Hill, Shawn</t>
  </si>
  <si>
    <t>Anderson, Lars</t>
  </si>
  <si>
    <t>Perez, Chris</t>
  </si>
  <si>
    <t>Theriot, Ryan</t>
  </si>
  <si>
    <t>Kendrick, Kyle</t>
  </si>
  <si>
    <t>Okajima, Hideki</t>
  </si>
  <si>
    <t>Kuroda, Kiroki</t>
  </si>
  <si>
    <t>Volstad, Chris</t>
  </si>
  <si>
    <t>Ramirez, Alexi</t>
  </si>
  <si>
    <t>Davis, Chris</t>
  </si>
  <si>
    <t>McGowan, Dustin</t>
  </si>
  <si>
    <t>Lugo, Julio</t>
  </si>
  <si>
    <t>Reyes, Al</t>
  </si>
  <si>
    <t>Pena, Tony</t>
  </si>
  <si>
    <t>Soto, Geovanny</t>
  </si>
  <si>
    <t>Marcum, Shaun</t>
  </si>
  <si>
    <t>Nady, Xavier</t>
  </si>
  <si>
    <t>Belliard, Ronnie</t>
  </si>
  <si>
    <t>Bannister, Brian</t>
  </si>
  <si>
    <t>Church, Ryan</t>
  </si>
  <si>
    <t>Villanueva, Carlos</t>
  </si>
  <si>
    <t>Sherrill, George</t>
  </si>
  <si>
    <t>Quentin, Carlos</t>
  </si>
  <si>
    <t>Cabrera, Asdrubal</t>
  </si>
  <si>
    <t>Suppan, Jeff</t>
  </si>
  <si>
    <t>Escobar, Yunel</t>
  </si>
  <si>
    <t>Parker, Jarrod</t>
  </si>
  <si>
    <t>Moylan, Peter</t>
  </si>
  <si>
    <t>Scherzer, Max</t>
  </si>
  <si>
    <t>Weathers, Casey</t>
  </si>
  <si>
    <t>Masterson, Justin</t>
  </si>
  <si>
    <t>Pearce, Steve</t>
  </si>
  <si>
    <t>Slowey, Kevin</t>
  </si>
  <si>
    <t>Jones, Brandon</t>
  </si>
  <si>
    <t>Villalona, Angel</t>
  </si>
  <si>
    <t>Jurrjens, Jair</t>
  </si>
  <si>
    <t>Washburn, Jarrod</t>
  </si>
  <si>
    <t>Lillibridge, Brent</t>
  </si>
  <si>
    <t>Jones, Adam</t>
  </si>
  <si>
    <t>De Los Santos, Faut</t>
  </si>
  <si>
    <t>Gutierrez, Franklin</t>
  </si>
  <si>
    <t>Jackson, Austin</t>
  </si>
  <si>
    <t>Perez, Rafael</t>
  </si>
  <si>
    <t>Backe, Brandon</t>
  </si>
  <si>
    <t>Clement, Matt</t>
  </si>
  <si>
    <t>Hairston, Scott</t>
  </si>
  <si>
    <t>Mathis, Jeff</t>
  </si>
  <si>
    <t>Parra, Manny</t>
  </si>
  <si>
    <t>Laffey, Aaron</t>
  </si>
  <si>
    <t>Mani Kumar</t>
  </si>
  <si>
    <t>Tony Chaplin</t>
  </si>
  <si>
    <t>Michael Wilt</t>
  </si>
  <si>
    <t>Sabathia, C.C.</t>
  </si>
  <si>
    <t>Halladay, Roy</t>
  </si>
  <si>
    <t>Wright, David</t>
  </si>
  <si>
    <t>Utley, Chase</t>
  </si>
  <si>
    <t>Teixiera, Mark</t>
  </si>
  <si>
    <t>Hardy, J.J.</t>
  </si>
  <si>
    <t>Hamels, Cole</t>
  </si>
  <si>
    <t>Sizemore, Grady</t>
  </si>
  <si>
    <t>Santana, Ervin</t>
  </si>
  <si>
    <t>Valverde, Jose</t>
  </si>
  <si>
    <t>Hanson, Tommy</t>
  </si>
  <si>
    <t>Peavy, Jake</t>
  </si>
  <si>
    <t>Rios, Alex</t>
  </si>
  <si>
    <t>Heyward, Jason</t>
  </si>
  <si>
    <t>Loney, James</t>
  </si>
  <si>
    <t>Aviles, Mike</t>
  </si>
  <si>
    <t>Alvarez, Pedro</t>
  </si>
  <si>
    <t>Volquez, Edinson</t>
  </si>
  <si>
    <t>McLouth, Nate</t>
  </si>
  <si>
    <t>Anderson, Brett</t>
  </si>
  <si>
    <t>Grienke, Zack</t>
  </si>
  <si>
    <t>Saunders, Joe</t>
  </si>
  <si>
    <t>Weeks, Rickie</t>
  </si>
  <si>
    <t>Napoli, Mike</t>
  </si>
  <si>
    <t>Span, Denard</t>
  </si>
  <si>
    <t>Sanchez, Johnthan</t>
  </si>
  <si>
    <t>Casilla, Alexi</t>
  </si>
  <si>
    <t>Maholm, Paul</t>
  </si>
  <si>
    <t>Reynolds, Mark</t>
  </si>
  <si>
    <t>Hudson, Tim</t>
  </si>
  <si>
    <t>Rodriguez, Wandy</t>
  </si>
  <si>
    <t>Choo, Shin-Soo</t>
  </si>
  <si>
    <t>Young, Delmon</t>
  </si>
  <si>
    <t>Flores, Jesus</t>
  </si>
  <si>
    <t>Jiminez, Ubaldo</t>
  </si>
  <si>
    <t>Dukes, Elijah</t>
  </si>
  <si>
    <t>Arrieta, Jake</t>
  </si>
  <si>
    <t>Freeman, Freddie</t>
  </si>
  <si>
    <t>Kuo, Hong-Chi</t>
  </si>
  <si>
    <t>Bard, Daniel</t>
  </si>
  <si>
    <t>McClellen, Kyle</t>
  </si>
  <si>
    <t>Getz, Chris</t>
  </si>
  <si>
    <t>Garland, Jon</t>
  </si>
  <si>
    <t>Francour, Jeff</t>
  </si>
  <si>
    <t>Murphy, Daniel</t>
  </si>
  <si>
    <t>Viciedo, Dayan</t>
  </si>
  <si>
    <t>Perkins, Glen</t>
  </si>
  <si>
    <t>Hernandez, Andrsn</t>
  </si>
  <si>
    <t>Chavez, Eric</t>
  </si>
  <si>
    <t>Jackson, Edwin</t>
  </si>
  <si>
    <t>Cunningham, Aaron</t>
  </si>
  <si>
    <t>Smith, Seth</t>
  </si>
  <si>
    <t>Zimmerman, Jordan</t>
  </si>
  <si>
    <t>Arredondo, Jose</t>
  </si>
  <si>
    <t>Schumaker, Skip</t>
  </si>
  <si>
    <t>Ramirez, Ramon</t>
  </si>
  <si>
    <t>Cahill, Trevor</t>
  </si>
  <si>
    <t>Posey, Buster</t>
  </si>
  <si>
    <t>Fowler, Dexter</t>
  </si>
  <si>
    <t>Feliciano, Pedro</t>
  </si>
  <si>
    <t>Morrison, Logan</t>
  </si>
  <si>
    <t>Smoak, Justin</t>
  </si>
  <si>
    <t>Bonifacio, Emilio</t>
  </si>
  <si>
    <t>Ceda, Jose</t>
  </si>
  <si>
    <t>Escobar, Alicides</t>
  </si>
  <si>
    <t>Francisco, Ben</t>
  </si>
  <si>
    <t>Balentien, Wladimir</t>
  </si>
  <si>
    <t>Gamel, Mat</t>
  </si>
  <si>
    <t>Beckham, Gordon</t>
  </si>
  <si>
    <t>Wallace, Brett</t>
  </si>
  <si>
    <t>Bumgarner, Madsn</t>
  </si>
  <si>
    <t>Porcello, Rick</t>
  </si>
  <si>
    <t>Feliz, Neftali</t>
  </si>
  <si>
    <t>Holland, Derrick</t>
  </si>
  <si>
    <t>Tillman, Chris</t>
  </si>
  <si>
    <t>Alonzo, Yonder</t>
  </si>
  <si>
    <t>Galaraga, Armondo</t>
  </si>
  <si>
    <t>Reyes / Zambrano</t>
  </si>
  <si>
    <t>Zambrano / Reyes</t>
  </si>
  <si>
    <t>Vik Uberoi</t>
  </si>
  <si>
    <t>Zimmerman, Ryan</t>
  </si>
  <si>
    <t>Howard, Ryan</t>
  </si>
  <si>
    <t>Hernandez, Felix</t>
  </si>
  <si>
    <t>Roberts, Brian</t>
  </si>
  <si>
    <t>Martinez, Victor</t>
  </si>
  <si>
    <t>Bailey, Andrew</t>
  </si>
  <si>
    <t>Vazquez, Javier</t>
  </si>
  <si>
    <t>Jeter, Derek</t>
  </si>
  <si>
    <t>Hosmer, Eric</t>
  </si>
  <si>
    <t>Verlander, Justin</t>
  </si>
  <si>
    <t>Longoria, Evan</t>
  </si>
  <si>
    <t>Fielder, Prince</t>
  </si>
  <si>
    <t>Zobrist, Ben</t>
  </si>
  <si>
    <t>McCann, Brian</t>
  </si>
  <si>
    <t>Maybin, Cameron</t>
  </si>
  <si>
    <t>Aardsma, David</t>
  </si>
  <si>
    <t>Kinsler, Ian</t>
  </si>
  <si>
    <t>Weaver, Jered</t>
  </si>
  <si>
    <t>Feldman, Scott</t>
  </si>
  <si>
    <t>Street, Huston</t>
  </si>
  <si>
    <t>Suzuki, Kurt</t>
  </si>
  <si>
    <t>Morales, Kendry</t>
  </si>
  <si>
    <t>Lackey, John</t>
  </si>
  <si>
    <t>Strasburg, Stephen</t>
  </si>
  <si>
    <t>Upton, BJ</t>
  </si>
  <si>
    <t>Danks, John</t>
  </si>
  <si>
    <t>CHW</t>
  </si>
  <si>
    <t>Qualls, Chad</t>
  </si>
  <si>
    <t>Granderson, Curtis</t>
  </si>
  <si>
    <t>Gurrier, Matt</t>
  </si>
  <si>
    <t>Callapso, Alberto</t>
  </si>
  <si>
    <t>Bartlett, Jason</t>
  </si>
  <si>
    <t>Nunez, Leo</t>
  </si>
  <si>
    <t>Kubel, Jason</t>
  </si>
  <si>
    <t>De La Rosa, Jorge</t>
  </si>
  <si>
    <t>Shields, James</t>
  </si>
  <si>
    <t>Uggla, Dan</t>
  </si>
  <si>
    <t>Morneau, Justin</t>
  </si>
  <si>
    <t>Blanton, Joe</t>
  </si>
  <si>
    <t>Montero, Miguel</t>
  </si>
  <si>
    <t>Drew, Stephen</t>
  </si>
  <si>
    <t>Cantu, Jorge</t>
  </si>
  <si>
    <t>Bruce, Jay</t>
  </si>
  <si>
    <t>Matzek, Tyler</t>
  </si>
  <si>
    <t>Molina, Yadier</t>
  </si>
  <si>
    <t>Marquis, Jason</t>
  </si>
  <si>
    <t>Nolasco, Ricky</t>
  </si>
  <si>
    <t>Stewart, Ian</t>
  </si>
  <si>
    <t>Izturis, Macier</t>
  </si>
  <si>
    <t>Aybar, Erik</t>
  </si>
  <si>
    <t>Lindstrom, Matt</t>
  </si>
  <si>
    <t>Ackley, Dustin</t>
  </si>
  <si>
    <t>Garza, Matt</t>
  </si>
  <si>
    <t>Hawpe, Brad</t>
  </si>
  <si>
    <t>Hellickson, Jeremy</t>
  </si>
  <si>
    <t>Gregerson, Luke</t>
  </si>
  <si>
    <t>Peralta, Johnny</t>
  </si>
  <si>
    <t>Castro, Starlin</t>
  </si>
  <si>
    <t>Chapman, Aroldis</t>
  </si>
  <si>
    <t>Duchscherer, Justin</t>
  </si>
  <si>
    <t>Reimold, Nolan</t>
  </si>
  <si>
    <t>Ortiz, David</t>
  </si>
  <si>
    <t>Derosa, Mark</t>
  </si>
  <si>
    <t>Wilson, Jack</t>
  </si>
  <si>
    <t>Affeldt, Jeremy</t>
  </si>
  <si>
    <t>Bourn, Michael</t>
  </si>
  <si>
    <t>Beltre, Adrian</t>
  </si>
  <si>
    <t>Morgan, Nyjer</t>
  </si>
  <si>
    <t>Correia, Kevin</t>
  </si>
  <si>
    <t>Jones, Garrett</t>
  </si>
  <si>
    <t>Jackson, Conor</t>
  </si>
  <si>
    <t>Headley, Chase</t>
  </si>
  <si>
    <t>Ruiz, Carlos</t>
  </si>
  <si>
    <t>Borbon, Julio</t>
  </si>
  <si>
    <t>Lowe, Mark</t>
  </si>
  <si>
    <t>Gonzales, Carlos</t>
  </si>
  <si>
    <t>Nathan, Joe</t>
  </si>
  <si>
    <t>Saltalamacchi, J</t>
  </si>
  <si>
    <t>Romero, Ricky</t>
  </si>
  <si>
    <t>Wells, Randy</t>
  </si>
  <si>
    <t>Perez, Martin</t>
  </si>
  <si>
    <t>Taylor, Michael</t>
  </si>
  <si>
    <t>Milledge, Lastings</t>
  </si>
  <si>
    <t>Johnson, Jim</t>
  </si>
  <si>
    <t>Brown, Dominic</t>
  </si>
  <si>
    <t>Carter, Chris</t>
  </si>
  <si>
    <t>Neimann, Jeff</t>
  </si>
  <si>
    <t>Saunders, Michael</t>
  </si>
  <si>
    <t>Cabrera, Everth</t>
  </si>
  <si>
    <t>Lowe, Derek</t>
  </si>
  <si>
    <t>Blackburn, Nick</t>
  </si>
  <si>
    <t>Prado, Martin</t>
  </si>
  <si>
    <t>Hanrahan, Joel</t>
  </si>
  <si>
    <t>Billingsly, Chad</t>
  </si>
  <si>
    <t>Adams, Mike</t>
  </si>
  <si>
    <t>Young, Eric</t>
  </si>
  <si>
    <t>IF</t>
  </si>
  <si>
    <t>Freese, David</t>
  </si>
  <si>
    <t>Stubbs, Drew</t>
  </si>
  <si>
    <t>Sizemore, Scott</t>
  </si>
  <si>
    <t>Hundley, Nick</t>
  </si>
  <si>
    <t>Encarnacion, Edwin</t>
  </si>
  <si>
    <t>Davis, Wade</t>
  </si>
  <si>
    <t>Iwamura, Akinori</t>
  </si>
  <si>
    <t>Brantley, Michael</t>
  </si>
  <si>
    <t>Storen, Drew</t>
  </si>
  <si>
    <t>Drabek, Kyle</t>
  </si>
  <si>
    <t>Latos, Matt</t>
  </si>
  <si>
    <t>Barton, Daric</t>
  </si>
  <si>
    <t>Davis, Rajai</t>
  </si>
  <si>
    <t>Medlen, Kris</t>
  </si>
  <si>
    <t>Buchholz, Clay</t>
  </si>
  <si>
    <t>McGehee, Casey</t>
  </si>
  <si>
    <t>Desmond, Ian</t>
  </si>
  <si>
    <t>Kotchman, Casey</t>
  </si>
  <si>
    <t>Gardner, Brett</t>
  </si>
  <si>
    <t>Runzler, Dan</t>
  </si>
  <si>
    <t>Jepsen, Kevin</t>
  </si>
  <si>
    <t>Putz, JJ</t>
  </si>
  <si>
    <t>Coghlan, Chris</t>
  </si>
  <si>
    <t>Blanks, Kyle</t>
  </si>
  <si>
    <t>Points</t>
  </si>
  <si>
    <t>Tourney</t>
  </si>
  <si>
    <t>Win</t>
  </si>
  <si>
    <t>Mitch Barklage</t>
  </si>
  <si>
    <t>Oswalt, Roy</t>
  </si>
  <si>
    <t>Butler, Billy</t>
  </si>
  <si>
    <t>Rivera, Mariano</t>
  </si>
  <si>
    <t>Richard, Clayton</t>
  </si>
  <si>
    <t>Santana, Johan</t>
  </si>
  <si>
    <t>Victorino, Shane</t>
  </si>
  <si>
    <t>Rodriguez, Alex</t>
  </si>
  <si>
    <t>Upton, Justin</t>
  </si>
  <si>
    <t>Pedroia, Dustin</t>
  </si>
  <si>
    <t>Kimbrel, Craig</t>
  </si>
  <si>
    <t>Espinosa, Danny</t>
  </si>
  <si>
    <t>Bautista, Jose</t>
  </si>
  <si>
    <t>Guerrero, Vladimir</t>
  </si>
  <si>
    <t>Cano, Robinson</t>
  </si>
  <si>
    <t>Cordero, Francisco</t>
  </si>
  <si>
    <t>Haren, Dan</t>
  </si>
  <si>
    <t>Swisher, Nick</t>
  </si>
  <si>
    <t>Dempster, Ryan</t>
  </si>
  <si>
    <t>Tulowitzki, Troy</t>
  </si>
  <si>
    <t>Buck, John</t>
  </si>
  <si>
    <t>Trout, Mike</t>
  </si>
  <si>
    <t>Soriano, Raphael</t>
  </si>
  <si>
    <t>Pierre, Juan</t>
  </si>
  <si>
    <t>Sanchez, Anibel</t>
  </si>
  <si>
    <t>Pelfrey, Mike</t>
  </si>
  <si>
    <t>Minor, Mike</t>
  </si>
  <si>
    <t>Young, Chris</t>
  </si>
  <si>
    <t>Markakis, Nick</t>
  </si>
  <si>
    <t>Garcia, Jamie</t>
  </si>
  <si>
    <t>Jennings, Desmond</t>
  </si>
  <si>
    <t>Lester, Jon</t>
  </si>
  <si>
    <t>Papelbon, Jon</t>
  </si>
  <si>
    <t>Lewis, Colby</t>
  </si>
  <si>
    <t>Sanchez, Gaby</t>
  </si>
  <si>
    <t>Harper, Bryce</t>
  </si>
  <si>
    <t>Clippard, Tyler</t>
  </si>
  <si>
    <t>Lilly, Ted</t>
  </si>
  <si>
    <t>Rhodes, Arthur</t>
  </si>
  <si>
    <t>Suzuki, Ichiro</t>
  </si>
  <si>
    <t>Teheran, Julio</t>
  </si>
  <si>
    <t>Wigginton, Ty</t>
  </si>
  <si>
    <t>Walker, Neil</t>
  </si>
  <si>
    <t>LaRoche, Adam</t>
  </si>
  <si>
    <t>Hudson, Dan</t>
  </si>
  <si>
    <t>Stauffer, Tim</t>
  </si>
  <si>
    <t>Sale, Chris</t>
  </si>
  <si>
    <t>Nishioka, Tsuyoshi</t>
  </si>
  <si>
    <t>McDonald, James</t>
  </si>
  <si>
    <t>Infante, Omar</t>
  </si>
  <si>
    <t>Gordon, Alex</t>
  </si>
  <si>
    <t>Nova, Ivan</t>
  </si>
  <si>
    <t>Arencibia, J.P.</t>
  </si>
  <si>
    <t>Chacin, Jhoulys</t>
  </si>
  <si>
    <t>Bay, Jason</t>
  </si>
  <si>
    <t>Pineada, Michael</t>
  </si>
  <si>
    <t>Torres, Andres</t>
  </si>
  <si>
    <t>Johnson, Chris</t>
  </si>
  <si>
    <t>Uehara, Koji</t>
  </si>
  <si>
    <t>Venters, Johnny</t>
  </si>
  <si>
    <t>Cain, Matt</t>
  </si>
  <si>
    <t>Happ, J.A.</t>
  </si>
  <si>
    <t>Kendrick, Howie</t>
  </si>
  <si>
    <t>Lawrie, Brett</t>
  </si>
  <si>
    <t>Britton, Zach</t>
  </si>
  <si>
    <t>Pagan, Angel</t>
  </si>
  <si>
    <t>CwS</t>
  </si>
  <si>
    <t>Doumit, Ryan</t>
  </si>
  <si>
    <t>Wood, Travis</t>
  </si>
  <si>
    <t>Davis, Ike</t>
  </si>
  <si>
    <t>Walden, Jordan</t>
  </si>
  <si>
    <t>Valencia, Danny</t>
  </si>
  <si>
    <t>Cain, Lorenzo</t>
  </si>
  <si>
    <t>Bourjos, Peter</t>
  </si>
  <si>
    <t>Braden, Dallas</t>
  </si>
  <si>
    <t>Belt, Brandon</t>
  </si>
  <si>
    <t>Myers, Wil</t>
  </si>
  <si>
    <t>Moreland, Mitch</t>
  </si>
  <si>
    <t>Lopez, Jose</t>
  </si>
  <si>
    <t>Chisenhall, Lonnie</t>
  </si>
  <si>
    <t>Marshall, Sean</t>
  </si>
  <si>
    <t>Turner, Jacob</t>
  </si>
  <si>
    <t>Bailey, Homer</t>
  </si>
  <si>
    <t>Benoit, Joaquin</t>
  </si>
  <si>
    <t>Meek, Evan</t>
  </si>
  <si>
    <t>Miller, Shelby</t>
  </si>
  <si>
    <t>Jansen, Kenly</t>
  </si>
  <si>
    <t>Dickey, R.A.</t>
  </si>
  <si>
    <t>DeJesus, David</t>
  </si>
  <si>
    <t>Ka'aihue, Kila</t>
  </si>
  <si>
    <t>Crain, Jesse</t>
  </si>
  <si>
    <t>Willingham, Josh</t>
  </si>
  <si>
    <t>Belisle, Matt</t>
  </si>
  <si>
    <t>Drew, J.D.</t>
  </si>
  <si>
    <t>Conger, Hank</t>
  </si>
  <si>
    <t>Leake, Mike</t>
  </si>
  <si>
    <t>Brignac, Reid</t>
  </si>
  <si>
    <t>Colvin, Tyler</t>
  </si>
  <si>
    <t>Lyles, Jordan</t>
  </si>
  <si>
    <t>Westbrook, Jake</t>
  </si>
  <si>
    <t>Matsui, Hideki</t>
  </si>
  <si>
    <t>Montero, Jesus</t>
  </si>
  <si>
    <t>Norris, Bud</t>
  </si>
  <si>
    <t>Boesch, Brennen</t>
  </si>
  <si>
    <t>Morel, Brent</t>
  </si>
  <si>
    <t>Lamb, John</t>
  </si>
  <si>
    <t>Gordon, Dee</t>
  </si>
  <si>
    <t>Rosario, Wilin</t>
  </si>
  <si>
    <t>Inge, Brandon</t>
  </si>
  <si>
    <t>Luke Jagot</t>
  </si>
  <si>
    <t>Kennedy, Ian</t>
  </si>
  <si>
    <t>Ramirez, Aramis</t>
  </si>
  <si>
    <t>Phillips, Brandon</t>
  </si>
  <si>
    <t>Rollins, Jimmy</t>
  </si>
  <si>
    <t>Madson, Ryan</t>
  </si>
  <si>
    <t>Avila, Alex</t>
  </si>
  <si>
    <t>Axford, John</t>
  </si>
  <si>
    <t>Gonzalez, Adrian</t>
  </si>
  <si>
    <t>Santana, Carlos</t>
  </si>
  <si>
    <t>Bell, Heath</t>
  </si>
  <si>
    <t>Lee, Cliff</t>
  </si>
  <si>
    <t>Putz, J.J.</t>
  </si>
  <si>
    <t>McCutcheon, And</t>
  </si>
  <si>
    <t>Beckett, Josh</t>
  </si>
  <si>
    <t>Ellsbury, Jacob</t>
  </si>
  <si>
    <t>Kipnis, Jason</t>
  </si>
  <si>
    <t>Sandoval, Pablo</t>
  </si>
  <si>
    <t>Johnson, Kelly</t>
  </si>
  <si>
    <t>Hamilton, Josh</t>
  </si>
  <si>
    <t>Banuelos, Manny</t>
  </si>
  <si>
    <t>Braun, Ryan</t>
  </si>
  <si>
    <t>Mesoraco, Devin</t>
  </si>
  <si>
    <t>Kemp, Matt</t>
  </si>
  <si>
    <t>Lind, Adam</t>
  </si>
  <si>
    <t>Cruz, Nelson</t>
  </si>
  <si>
    <t>Kershaw, Clayton</t>
  </si>
  <si>
    <t>Bauer, Trevor</t>
  </si>
  <si>
    <t>Santos, Sergio</t>
  </si>
  <si>
    <t>Gallardo, Yavanni</t>
  </si>
  <si>
    <t>Mauer, Joe</t>
  </si>
  <si>
    <t>Votto, Joey</t>
  </si>
  <si>
    <t>Motte, Jason</t>
  </si>
  <si>
    <t>Fister, Doug</t>
  </si>
  <si>
    <t>Taillon, Jameson</t>
  </si>
  <si>
    <t>Carpenter, Chris</t>
  </si>
  <si>
    <t>Scutaro, Marco</t>
  </si>
  <si>
    <t>Luebke, Cory</t>
  </si>
  <si>
    <t>Stanton, Giancarlo</t>
  </si>
  <si>
    <t>Machado, Manny</t>
  </si>
  <si>
    <t>Lincecum, Tim</t>
  </si>
  <si>
    <t>Rodriguez, Sean</t>
  </si>
  <si>
    <t>League, Brandon</t>
  </si>
  <si>
    <t>Abreau, Bobby</t>
  </si>
  <si>
    <t>Berkman, Lance</t>
  </si>
  <si>
    <t>Roberts, Ryan</t>
  </si>
  <si>
    <t>Cespedes, Yoenis</t>
  </si>
  <si>
    <t>Pestano, Vinnie</t>
  </si>
  <si>
    <t>Moore, Matt</t>
  </si>
  <si>
    <t>Youkalis, Kevin</t>
  </si>
  <si>
    <t>Weeks, Jemile</t>
  </si>
  <si>
    <t>Bonifacio, Emilo</t>
  </si>
  <si>
    <t>Darvish, Yu</t>
  </si>
  <si>
    <t>Jones, Chipper</t>
  </si>
  <si>
    <t>Hart, Corey</t>
  </si>
  <si>
    <t>Francisco, Frank</t>
  </si>
  <si>
    <t>Betancourt, Rafael</t>
  </si>
  <si>
    <t>Pence, Hunter</t>
  </si>
  <si>
    <t>Liriano, Francisco</t>
  </si>
  <si>
    <t>Capps, Matt</t>
  </si>
  <si>
    <t>Hunter, Torii</t>
  </si>
  <si>
    <t>Bundy, Dylan</t>
  </si>
  <si>
    <t>Guerra, Javy</t>
  </si>
  <si>
    <t>Ramos, Wilson</t>
  </si>
  <si>
    <t>Morse, Michael</t>
  </si>
  <si>
    <t>Ethier, Andre</t>
  </si>
  <si>
    <t>Beachy, Brandon</t>
  </si>
  <si>
    <t>Raburn, Ryan</t>
  </si>
  <si>
    <t>Profar, Jurickson</t>
  </si>
  <si>
    <t>Tabata, Jose</t>
  </si>
  <si>
    <t>Thornton, Matt</t>
  </si>
  <si>
    <t>Lowrie, Jed</t>
  </si>
  <si>
    <t>Morrow, Brandon</t>
  </si>
  <si>
    <t>Ramirez, Manny</t>
  </si>
  <si>
    <t>Hughes, Phil</t>
  </si>
  <si>
    <t>Lee, Carlos</t>
  </si>
  <si>
    <t>Helton, Todd</t>
  </si>
  <si>
    <t>Duda, Lucas</t>
  </si>
  <si>
    <t>Various</t>
  </si>
  <si>
    <t>Cole, Gerrit</t>
  </si>
  <si>
    <t>McGee/Matusz</t>
  </si>
  <si>
    <t>Johnson, Josh</t>
  </si>
  <si>
    <t>Cuddyer, Michael</t>
  </si>
  <si>
    <t>Crisp, Coco</t>
  </si>
  <si>
    <t>LuCroy, Jonathan</t>
  </si>
  <si>
    <t>Myers, Brett</t>
  </si>
  <si>
    <t>Hill, Aaron</t>
  </si>
  <si>
    <t>Buerle, Mark</t>
  </si>
  <si>
    <t>Lidge, Brad</t>
  </si>
  <si>
    <t>Polanco, Placido</t>
  </si>
  <si>
    <t>Balfour, Grant</t>
  </si>
  <si>
    <t>Vogelsong, Ryan</t>
  </si>
  <si>
    <t>Hultzen, Danny</t>
  </si>
  <si>
    <t>Rasmus, Colby</t>
  </si>
  <si>
    <t>D'Arnaud, Travis</t>
  </si>
  <si>
    <t>Trumbo, Mark</t>
  </si>
  <si>
    <t>Lohse, Kyle</t>
  </si>
  <si>
    <t>Harrison, Matt</t>
  </si>
  <si>
    <t>Carp, Mike</t>
  </si>
  <si>
    <t>Hochevar, Luke</t>
  </si>
  <si>
    <t>Robertson, David</t>
  </si>
  <si>
    <t>Goldschmidt, Paul</t>
  </si>
  <si>
    <t>Martin, Russell</t>
  </si>
  <si>
    <t>Pennington, Cliff</t>
  </si>
  <si>
    <t>Burnett, AJ</t>
  </si>
  <si>
    <t>Joyce, Matt</t>
  </si>
  <si>
    <t>Altuve, Jose</t>
  </si>
  <si>
    <t>Hernandez, David</t>
  </si>
  <si>
    <t>Melancon, Mark</t>
  </si>
  <si>
    <t>Ludwick, Ryan</t>
  </si>
  <si>
    <t>Salas, Fernando</t>
  </si>
  <si>
    <t>Andino, Robert</t>
  </si>
  <si>
    <t>Marte, Sterling</t>
  </si>
  <si>
    <t>Skaggs, Tyler</t>
  </si>
  <si>
    <t>Martinez, Carlos</t>
  </si>
  <si>
    <t>Cashner, Andrew</t>
  </si>
  <si>
    <t>Mayberry, John</t>
  </si>
  <si>
    <t>Jay, John</t>
  </si>
  <si>
    <t>Presley, Alex</t>
  </si>
  <si>
    <t>Rolen, Scott</t>
  </si>
  <si>
    <t>LaHair, Brian</t>
  </si>
  <si>
    <t>Cozart, Zack</t>
  </si>
  <si>
    <t>Rendon, Anthony</t>
  </si>
  <si>
    <t>McCarthy, Brandon</t>
  </si>
  <si>
    <t>Bastardo, Antonio</t>
  </si>
  <si>
    <t>Blake, Casey</t>
  </si>
  <si>
    <t>Barney, Darwin</t>
  </si>
  <si>
    <t>Dunn, Adam</t>
  </si>
  <si>
    <t>Niese, Jonathan</t>
  </si>
  <si>
    <t>Ross, Cody</t>
  </si>
  <si>
    <t>Paredes, Jimmy</t>
  </si>
  <si>
    <t>Colon, Bartolo</t>
  </si>
  <si>
    <t>Pomeranz, Drew</t>
  </si>
  <si>
    <t>Craig, Allen</t>
  </si>
  <si>
    <t>Jackson, Brett</t>
  </si>
  <si>
    <t>Brown, Gary</t>
  </si>
  <si>
    <t>Olt, Mike</t>
  </si>
  <si>
    <t>Yelich, Christian</t>
  </si>
  <si>
    <t>Hernandez, Ramon</t>
  </si>
  <si>
    <t>O'Flaherty, Eric</t>
  </si>
  <si>
    <t>Downs, Scott</t>
  </si>
  <si>
    <t>Heisey, Chris</t>
  </si>
  <si>
    <t>Snider</t>
  </si>
  <si>
    <t>Rizzo, Anthony</t>
  </si>
  <si>
    <t>Worley, Vance</t>
  </si>
  <si>
    <t>Crow, Aaron</t>
  </si>
  <si>
    <t>Alvarez, Henderson</t>
  </si>
  <si>
    <t>Wheeler, Zach</t>
  </si>
  <si>
    <t>Gee, Dillon</t>
  </si>
  <si>
    <t>Betances, Dellin</t>
  </si>
  <si>
    <t>Martinez, J.D.</t>
  </si>
  <si>
    <t>Reed, Addison</t>
  </si>
  <si>
    <t>Pierzynski, A.J.</t>
  </si>
  <si>
    <t>Saltalamacchia, J</t>
  </si>
  <si>
    <t>Samardzija, Jeff</t>
  </si>
  <si>
    <t>Nicasio, Juan</t>
  </si>
  <si>
    <t>Mia</t>
  </si>
  <si>
    <t>Ogando, Alexi</t>
  </si>
  <si>
    <t>Giavotella, Johnny</t>
  </si>
  <si>
    <t>De Aza, Alejandro</t>
  </si>
  <si>
    <t>Romo, Sergio</t>
  </si>
  <si>
    <t>Arenado, Nolan</t>
  </si>
  <si>
    <t>Steve Schaefer</t>
  </si>
  <si>
    <t>Broxton, Jonathan</t>
  </si>
  <si>
    <t>Betemit, Wilson</t>
  </si>
  <si>
    <t>Brothers, Rex</t>
  </si>
  <si>
    <t>Descalso, Daniel</t>
  </si>
  <si>
    <t>Peralta, Joel</t>
  </si>
  <si>
    <t>Olivo, Miguel</t>
  </si>
  <si>
    <t>Fuentes, Brian</t>
  </si>
  <si>
    <t>Collmenter, Josh</t>
  </si>
  <si>
    <t>Holland, Greg</t>
  </si>
  <si>
    <t>Plouffe, Trevor</t>
  </si>
  <si>
    <t>Aceves, Alfredo</t>
  </si>
  <si>
    <t>Mujica, Edward</t>
  </si>
  <si>
    <t>Carroll, Jamey</t>
  </si>
  <si>
    <t>Loe, Kameron</t>
  </si>
  <si>
    <t>Murphy, David</t>
  </si>
  <si>
    <t>Rodriguez, Henry</t>
  </si>
  <si>
    <t>Lynn, Lance</t>
  </si>
  <si>
    <t>Mendoza, Luis</t>
  </si>
  <si>
    <t>Parnell, Bobby</t>
  </si>
  <si>
    <t>Tejada, Ruben</t>
  </si>
  <si>
    <t>Wolf, Randy</t>
  </si>
  <si>
    <t>Furcal, Rafael</t>
  </si>
  <si>
    <t>Santiago, Hector</t>
  </si>
  <si>
    <t>Rodney, Fernando</t>
  </si>
  <si>
    <t>Lyon, Brandon</t>
  </si>
  <si>
    <t>Vargas, Jason</t>
  </si>
  <si>
    <t>Parmalee, Chris</t>
  </si>
  <si>
    <t>Gregg, Kevin</t>
  </si>
  <si>
    <t>Rausch, Jon</t>
  </si>
  <si>
    <t>Harrell, Lucas</t>
  </si>
  <si>
    <t>Seager, Kyle</t>
  </si>
  <si>
    <t>Figgins, Chone</t>
  </si>
  <si>
    <t>Hammel, Jason</t>
  </si>
  <si>
    <t>Hannahan, Jack</t>
  </si>
  <si>
    <t>Milone, Tommy</t>
  </si>
  <si>
    <t>Ellis, A.J.</t>
  </si>
  <si>
    <t>Wilhelmsen, Tom</t>
  </si>
  <si>
    <t>Hunter, Tommy</t>
  </si>
  <si>
    <t>Burnett, Sean</t>
  </si>
  <si>
    <t>Coke, Phil</t>
  </si>
  <si>
    <t>Duffy, Danny</t>
  </si>
  <si>
    <t>Rivera, Juan</t>
  </si>
  <si>
    <t>Lopez, Javier</t>
  </si>
  <si>
    <t>Cishek, Steve</t>
  </si>
  <si>
    <t>Lopez, Wilton</t>
  </si>
  <si>
    <t>Casilla, Santiago</t>
  </si>
  <si>
    <t>Duncan, Shelly</t>
  </si>
  <si>
    <t>Phelps, David</t>
  </si>
  <si>
    <t>Ibanez, Raul</t>
  </si>
  <si>
    <t>Carpenter, Matt</t>
  </si>
  <si>
    <t>Thole, Josh</t>
  </si>
  <si>
    <t>Cruz, Juan</t>
  </si>
  <si>
    <t>Scott, Luke</t>
  </si>
  <si>
    <t>Smyly, Drew</t>
  </si>
  <si>
    <t>Humber, Phil</t>
  </si>
  <si>
    <t>Boggs, Mitchell</t>
  </si>
  <si>
    <t>Ellis, Mark</t>
  </si>
  <si>
    <t>Schierholtz, Nate</t>
  </si>
  <si>
    <t>Gonzalez, Alex</t>
  </si>
  <si>
    <t>Capuano, Chris</t>
  </si>
  <si>
    <t>Lindblom, Josh</t>
  </si>
  <si>
    <t>Detwiler, Ross</t>
  </si>
  <si>
    <t>Nieuwenhuis, Kirk</t>
  </si>
  <si>
    <t>Strop, Pedro</t>
  </si>
  <si>
    <t>Casila, Santiago</t>
  </si>
  <si>
    <t>Parra, Gerardo</t>
  </si>
  <si>
    <t>Reddick, Josh</t>
  </si>
  <si>
    <t>Cook, Ryan</t>
  </si>
  <si>
    <t>Dolis, Rafael</t>
  </si>
  <si>
    <t>Russell, James</t>
  </si>
  <si>
    <t>Nix, Laynce</t>
  </si>
  <si>
    <t>Middlebrooks, Will</t>
  </si>
  <si>
    <t>Frieri, Ernesto</t>
  </si>
  <si>
    <t>Dirks, Andy</t>
  </si>
  <si>
    <t>Thayer, Dale</t>
  </si>
  <si>
    <t>Janssen, Casey</t>
  </si>
  <si>
    <t>Sweeney, Ryan</t>
  </si>
  <si>
    <t>Chen, Wei-Yin</t>
  </si>
  <si>
    <t>Byrdak, Tim</t>
  </si>
  <si>
    <t>Bass, Anthony</t>
  </si>
  <si>
    <t>Friedrich, Christian</t>
  </si>
  <si>
    <t>Doubront, Felix</t>
  </si>
  <si>
    <t>Johnson, Elliot</t>
  </si>
  <si>
    <t>Dozier, Brian</t>
  </si>
  <si>
    <t>Pettitte, Andy</t>
  </si>
  <si>
    <t>Miley, Wade</t>
  </si>
  <si>
    <t>Gomez, Jeanmar</t>
  </si>
  <si>
    <t>Paulino, Felipe</t>
  </si>
  <si>
    <t>Grilli, Jason</t>
  </si>
  <si>
    <t>Laird, Gerald</t>
  </si>
  <si>
    <t>Perez, Salvador</t>
  </si>
  <si>
    <t>Diamond, Scott</t>
  </si>
  <si>
    <t>Revere, Ben</t>
  </si>
  <si>
    <t>Galvis, Freddy</t>
  </si>
  <si>
    <t>Castro, Jason</t>
  </si>
  <si>
    <t>Richards, Garrett</t>
  </si>
  <si>
    <t>Nava, Daniel</t>
  </si>
  <si>
    <t>Belisario, Ronald</t>
  </si>
  <si>
    <t>Burton, Jared</t>
  </si>
  <si>
    <t>Morales, Franklin</t>
  </si>
  <si>
    <t>Grandel, Yasmani</t>
  </si>
  <si>
    <t>Fiers, Mike</t>
  </si>
  <si>
    <t>Jaso, John</t>
  </si>
  <si>
    <t>Padilla, Vicente</t>
  </si>
  <si>
    <t>Furbush, Charlie</t>
  </si>
  <si>
    <t>Youkilis, Kevin</t>
  </si>
  <si>
    <t>Aoki, Norichika</t>
  </si>
  <si>
    <t>Sheets, Ben</t>
  </si>
  <si>
    <t>Quintana, Jose</t>
  </si>
  <si>
    <t>Frazier, Todd</t>
  </si>
  <si>
    <t>Doolittle, Sean</t>
  </si>
  <si>
    <t>Holland, Derek</t>
  </si>
  <si>
    <t>Betancourt, Yuny</t>
  </si>
  <si>
    <t>Griffin, AJ</t>
  </si>
  <si>
    <t>Rutledge, Josh</t>
  </si>
  <si>
    <t>Harvey, Matt</t>
  </si>
  <si>
    <t>Karstens, Jeff</t>
  </si>
  <si>
    <t>Straily, Daniel</t>
  </si>
  <si>
    <t>McGee, Jake</t>
  </si>
  <si>
    <t>Snider, Travis</t>
  </si>
  <si>
    <t>Corbin, Patrick</t>
  </si>
  <si>
    <t>Iwakuma, Hisashi</t>
  </si>
  <si>
    <t>Deduno, Samuel</t>
  </si>
  <si>
    <t>Huff, David</t>
  </si>
  <si>
    <t>Updated October 24, 2012 at 9 PM CT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</si>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</sst>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4" fontId="26" fillId="0" borderId="0" xfId="42" applyNumberFormat="1" applyFont="1" applyAlignment="1">
      <alignment/>
    </xf>
    <xf numFmtId="43" fontId="26" fillId="0" borderId="0" xfId="42" applyFont="1" applyAlignment="1">
      <alignment/>
    </xf>
    <xf numFmtId="4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26" fillId="0" borderId="10" xfId="42" applyNumberFormat="1" applyFont="1" applyBorder="1" applyAlignment="1">
      <alignment/>
    </xf>
    <xf numFmtId="43" fontId="26" fillId="0" borderId="10" xfId="42" applyFont="1" applyBorder="1" applyAlignment="1">
      <alignment/>
    </xf>
    <xf numFmtId="43" fontId="26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44" fontId="29" fillId="0" borderId="0" xfId="44" applyFont="1" applyAlignment="1">
      <alignment/>
    </xf>
    <xf numFmtId="0" fontId="27" fillId="0" borderId="0" xfId="0" applyFont="1" applyAlignment="1">
      <alignment horizontal="center"/>
    </xf>
    <xf numFmtId="164" fontId="27" fillId="0" borderId="0" xfId="42" applyNumberFormat="1" applyFont="1" applyAlignment="1">
      <alignment/>
    </xf>
    <xf numFmtId="0" fontId="29" fillId="0" borderId="0" xfId="0" applyFont="1" applyAlignment="1">
      <alignment horizontal="center"/>
    </xf>
    <xf numFmtId="43" fontId="27" fillId="0" borderId="0" xfId="42" applyFont="1" applyAlignment="1">
      <alignment/>
    </xf>
    <xf numFmtId="43" fontId="27" fillId="0" borderId="0" xfId="42" applyFont="1" applyAlignment="1">
      <alignment horizontal="center"/>
    </xf>
    <xf numFmtId="43" fontId="27" fillId="0" borderId="0" xfId="0" applyNumberFormat="1" applyFont="1" applyAlignment="1">
      <alignment/>
    </xf>
    <xf numFmtId="43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43" fontId="30" fillId="0" borderId="0" xfId="42" applyFont="1" applyAlignment="1">
      <alignment horizontal="center"/>
    </xf>
    <xf numFmtId="44" fontId="28" fillId="0" borderId="0" xfId="44" applyFont="1" applyAlignment="1">
      <alignment horizontal="center"/>
    </xf>
    <xf numFmtId="0" fontId="30" fillId="0" borderId="0" xfId="0" applyFont="1" applyAlignment="1">
      <alignment horizontal="right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5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164" fontId="58" fillId="34" borderId="0" xfId="42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64" fontId="35" fillId="0" borderId="0" xfId="42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4" fontId="26" fillId="0" borderId="0" xfId="42" applyNumberFormat="1" applyFont="1" applyAlignment="1">
      <alignment horizontal="right"/>
    </xf>
    <xf numFmtId="0" fontId="27" fillId="0" borderId="0" xfId="0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30" fillId="0" borderId="0" xfId="42" applyFont="1" applyAlignment="1">
      <alignment horizontal="center"/>
    </xf>
    <xf numFmtId="43" fontId="29" fillId="0" borderId="11" xfId="42" applyFont="1" applyBorder="1" applyAlignment="1">
      <alignment horizontal="center"/>
    </xf>
    <xf numFmtId="0" fontId="36" fillId="33" borderId="0" xfId="0" applyFont="1" applyFill="1" applyAlignment="1">
      <alignment horizontal="center"/>
    </xf>
    <xf numFmtId="44" fontId="28" fillId="0" borderId="0" xfId="44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4" fillId="33" borderId="0" xfId="0" applyFont="1" applyFill="1" applyAlignment="1">
      <alignment horizontal="right"/>
    </xf>
    <xf numFmtId="0" fontId="7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7.7109375" style="63" customWidth="1"/>
    <col min="2" max="2" width="1.7109375" style="63" customWidth="1"/>
    <col min="3" max="3" width="5.7109375" style="63" customWidth="1"/>
    <col min="4" max="4" width="7.7109375" style="63" customWidth="1"/>
    <col min="5" max="5" width="6.7109375" style="63" customWidth="1"/>
    <col min="6" max="6" width="7.7109375" style="63" customWidth="1"/>
    <col min="7" max="7" width="6.7109375" style="63" customWidth="1"/>
    <col min="8" max="9" width="7.7109375" style="63" customWidth="1"/>
    <col min="10" max="10" width="6.7109375" style="63" customWidth="1"/>
    <col min="11" max="11" width="9.140625" style="63" customWidth="1"/>
    <col min="12" max="12" width="1.7109375" style="63" customWidth="1"/>
    <col min="13" max="13" width="5.7109375" style="63" customWidth="1"/>
    <col min="14" max="14" width="7.7109375" style="63" customWidth="1"/>
    <col min="15" max="15" width="1.7109375" style="63" customWidth="1"/>
    <col min="16" max="16" width="5.7109375" style="63" customWidth="1"/>
    <col min="17" max="17" width="7.7109375" style="63" customWidth="1"/>
    <col min="18" max="18" width="1.7109375" style="63" customWidth="1"/>
    <col min="19" max="19" width="5.7109375" style="63" customWidth="1"/>
    <col min="20" max="20" width="7.7109375" style="63" customWidth="1"/>
    <col min="21" max="21" width="1.7109375" style="63" customWidth="1"/>
    <col min="22" max="22" width="5.7109375" style="63" customWidth="1"/>
    <col min="23" max="23" width="7.7109375" style="63" customWidth="1"/>
    <col min="24" max="24" width="2.7109375" style="63" customWidth="1"/>
    <col min="25" max="26" width="7.7109375" style="67" customWidth="1"/>
    <col min="27" max="27" width="7.7109375" style="68" customWidth="1"/>
    <col min="28" max="16384" width="9.140625" style="63" customWidth="1"/>
  </cols>
  <sheetData>
    <row r="1" spans="1:23" ht="18.75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00" t="s">
        <v>812</v>
      </c>
      <c r="R1" s="100"/>
      <c r="S1" s="100"/>
      <c r="T1" s="100"/>
      <c r="U1" s="100"/>
      <c r="V1" s="100"/>
      <c r="W1" s="100"/>
    </row>
    <row r="2" ht="7.5" customHeight="1"/>
    <row r="3" spans="3:27" s="80" customFormat="1" ht="15" customHeight="1">
      <c r="C3" s="96">
        <v>2012</v>
      </c>
      <c r="D3" s="96"/>
      <c r="E3" s="96"/>
      <c r="F3" s="96"/>
      <c r="G3" s="96"/>
      <c r="H3" s="96"/>
      <c r="I3" s="96"/>
      <c r="J3" s="96"/>
      <c r="K3" s="96"/>
      <c r="L3" s="81"/>
      <c r="M3" s="96">
        <v>2013</v>
      </c>
      <c r="N3" s="96"/>
      <c r="O3" s="81"/>
      <c r="P3" s="96">
        <v>2014</v>
      </c>
      <c r="Q3" s="96"/>
      <c r="R3" s="81"/>
      <c r="S3" s="96">
        <v>2015</v>
      </c>
      <c r="T3" s="96"/>
      <c r="U3" s="81"/>
      <c r="V3" s="96">
        <v>2016</v>
      </c>
      <c r="W3" s="96"/>
      <c r="Y3" s="82" t="s">
        <v>413</v>
      </c>
      <c r="Z3" s="82" t="s">
        <v>414</v>
      </c>
      <c r="AA3" s="83" t="s">
        <v>415</v>
      </c>
    </row>
    <row r="4" spans="1:27" s="80" customFormat="1" ht="7.5" customHeight="1">
      <c r="A4" s="84"/>
      <c r="B4" s="84"/>
      <c r="C4" s="85"/>
      <c r="D4" s="85"/>
      <c r="E4" s="85"/>
      <c r="F4" s="85"/>
      <c r="G4" s="85"/>
      <c r="H4" s="85"/>
      <c r="I4" s="85"/>
      <c r="J4" s="85"/>
      <c r="K4" s="85"/>
      <c r="L4" s="81"/>
      <c r="M4" s="86"/>
      <c r="N4" s="86"/>
      <c r="O4" s="81"/>
      <c r="P4" s="85"/>
      <c r="Q4" s="85"/>
      <c r="R4" s="81"/>
      <c r="S4" s="86"/>
      <c r="T4" s="86"/>
      <c r="U4" s="81"/>
      <c r="V4" s="85"/>
      <c r="W4" s="85"/>
      <c r="Y4" s="87"/>
      <c r="Z4" s="87"/>
      <c r="AA4" s="88"/>
    </row>
    <row r="5" spans="1:27" s="53" customFormat="1" ht="15">
      <c r="A5" s="89" t="s">
        <v>4</v>
      </c>
      <c r="C5" s="64" t="s">
        <v>2</v>
      </c>
      <c r="D5" s="64" t="s">
        <v>89</v>
      </c>
      <c r="E5" s="64" t="s">
        <v>90</v>
      </c>
      <c r="F5" s="64" t="s">
        <v>91</v>
      </c>
      <c r="G5" s="64" t="s">
        <v>92</v>
      </c>
      <c r="H5" s="64" t="s">
        <v>59</v>
      </c>
      <c r="I5" s="64" t="s">
        <v>12</v>
      </c>
      <c r="J5" s="64" t="s">
        <v>60</v>
      </c>
      <c r="K5" s="64" t="s">
        <v>61</v>
      </c>
      <c r="L5" s="90"/>
      <c r="M5" s="64" t="s">
        <v>2</v>
      </c>
      <c r="N5" s="64" t="s">
        <v>3</v>
      </c>
      <c r="O5" s="90"/>
      <c r="P5" s="64" t="s">
        <v>2</v>
      </c>
      <c r="Q5" s="64" t="s">
        <v>3</v>
      </c>
      <c r="R5" s="90"/>
      <c r="S5" s="64" t="s">
        <v>2</v>
      </c>
      <c r="T5" s="64" t="s">
        <v>3</v>
      </c>
      <c r="U5" s="90"/>
      <c r="V5" s="64" t="s">
        <v>2</v>
      </c>
      <c r="W5" s="64" t="s">
        <v>3</v>
      </c>
      <c r="Y5" s="57"/>
      <c r="Z5" s="57"/>
      <c r="AA5" s="54"/>
    </row>
    <row r="6" spans="25:27" s="80" customFormat="1" ht="7.5" customHeight="1">
      <c r="Y6" s="87"/>
      <c r="Z6" s="87"/>
      <c r="AA6" s="88"/>
    </row>
    <row r="7" spans="1:27" s="53" customFormat="1" ht="15" customHeight="1">
      <c r="A7" s="52" t="s">
        <v>210</v>
      </c>
      <c r="C7" s="54">
        <f>+COUNTIF(Chaplin!$I$5:$I$32,"&gt;0")</f>
        <v>28</v>
      </c>
      <c r="D7" s="55">
        <f>+Chaplin!I34</f>
        <v>119.59999999999997</v>
      </c>
      <c r="E7" s="55">
        <f>+Chaplin!I97</f>
        <v>67.04999999999993</v>
      </c>
      <c r="F7" s="55">
        <f>+Chaplin!I106</f>
        <v>0</v>
      </c>
      <c r="G7" s="55">
        <f>4.45+1.25+1.9+1.1+0.9</f>
        <v>9.6</v>
      </c>
      <c r="H7" s="55">
        <f aca="true" t="shared" si="0" ref="H7:H24">+D7+E7+F7-G7</f>
        <v>177.0499999999999</v>
      </c>
      <c r="I7" s="55">
        <f aca="true" t="shared" si="1" ref="I7:I24">+CEILING(IF(H7&gt;($I$29*1.2),(9*(H7-1.2*$I$29)+$I$29*0.5),IF(H7&gt;($I$29*1.1),(4*(H7-1.1*$I$29)+$I$29*0.1),IF(H7&gt;$I$29,H7-$I$29,0))),0.05)</f>
        <v>275.05</v>
      </c>
      <c r="J7" s="55">
        <f>+Chaplin!I48</f>
        <v>12.3</v>
      </c>
      <c r="K7" s="56">
        <f aca="true" t="shared" si="2" ref="K7:K24">+H7+I7+J7</f>
        <v>464.3999999999999</v>
      </c>
      <c r="M7" s="54">
        <f>+COUNTIF(Chaplin!$J$5:$J$32,"&gt;0")</f>
        <v>13</v>
      </c>
      <c r="N7" s="55">
        <f>+Chaplin!J34</f>
        <v>66.85</v>
      </c>
      <c r="P7" s="54">
        <f>+COUNTIF(Chaplin!$K$5:$K$32,"&gt;0")</f>
        <v>12</v>
      </c>
      <c r="Q7" s="55">
        <f>+Chaplin!K34</f>
        <v>59.4</v>
      </c>
      <c r="S7" s="54">
        <f>+COUNTIF(Chaplin!$L$5:$L$32,"&gt;0")</f>
        <v>8</v>
      </c>
      <c r="T7" s="55">
        <f>+Chaplin!L34</f>
        <v>30.399999999999995</v>
      </c>
      <c r="V7" s="54">
        <f>+COUNTIF(Chaplin!$M$5:$M$32,"&gt;0")</f>
        <v>4</v>
      </c>
      <c r="W7" s="55">
        <f>+Chaplin!M34</f>
        <v>17.599999999999998</v>
      </c>
      <c r="Y7" s="57">
        <v>5</v>
      </c>
      <c r="Z7" s="57"/>
      <c r="AA7" s="54">
        <f>Q33</f>
        <v>160</v>
      </c>
    </row>
    <row r="8" spans="1:27" s="53" customFormat="1" ht="15" customHeight="1">
      <c r="A8" s="52" t="s">
        <v>80</v>
      </c>
      <c r="C8" s="54">
        <f>+COUNTIF(Adkisson!$I$5:$I$32,"&gt;0")</f>
        <v>28</v>
      </c>
      <c r="D8" s="55">
        <f>+Adkisson!I34</f>
        <v>122.05</v>
      </c>
      <c r="E8" s="55">
        <f>+Adkisson!I86</f>
        <v>51.599999999999966</v>
      </c>
      <c r="F8" s="55">
        <f>+Adkisson!I95</f>
        <v>0</v>
      </c>
      <c r="G8" s="55">
        <f>6.6+0.65+0.65</f>
        <v>7.9</v>
      </c>
      <c r="H8" s="55">
        <f t="shared" si="0"/>
        <v>165.74999999999997</v>
      </c>
      <c r="I8" s="55">
        <f t="shared" si="1"/>
        <v>173.35000000000002</v>
      </c>
      <c r="J8" s="55">
        <f>+Adkisson!I48</f>
        <v>14.2</v>
      </c>
      <c r="K8" s="56">
        <f t="shared" si="2"/>
        <v>353.3</v>
      </c>
      <c r="M8" s="54">
        <f>+COUNTIF(Adkisson!$J$5:$J$32,"&gt;0")</f>
        <v>16</v>
      </c>
      <c r="N8" s="55">
        <f>+Adkisson!J34</f>
        <v>96.2</v>
      </c>
      <c r="P8" s="54">
        <f>+COUNTIF(Adkisson!$K$5:$K$32,"&gt;0")</f>
        <v>12</v>
      </c>
      <c r="Q8" s="55">
        <f>+Adkisson!K34</f>
        <v>76.55000000000001</v>
      </c>
      <c r="S8" s="54">
        <f>+COUNTIF(Adkisson!$L$5:$L$32,"&gt;0")</f>
        <v>8</v>
      </c>
      <c r="T8" s="55">
        <f>+Adkisson!L34</f>
        <v>53.85</v>
      </c>
      <c r="V8" s="54">
        <f>+COUNTIF(Adkisson!$M$5:$M$32,"&gt;0")</f>
        <v>3</v>
      </c>
      <c r="W8" s="55">
        <f>+Adkisson!M34</f>
        <v>9.9</v>
      </c>
      <c r="Y8" s="57">
        <v>3</v>
      </c>
      <c r="Z8" s="57"/>
      <c r="AA8" s="54">
        <f>Q31</f>
        <v>248</v>
      </c>
    </row>
    <row r="9" spans="1:27" s="53" customFormat="1" ht="15" customHeight="1">
      <c r="A9" s="52" t="s">
        <v>525</v>
      </c>
      <c r="C9" s="54">
        <f>+COUNTIF(Jagot!$I$5:$I$32,"&gt;0")</f>
        <v>28</v>
      </c>
      <c r="D9" s="55">
        <f>+Jagot!I34</f>
        <v>152.00000000000009</v>
      </c>
      <c r="E9" s="55">
        <f>+Jagot!I65</f>
        <v>10.350000000000001</v>
      </c>
      <c r="F9" s="55">
        <f>+Jagot!I74</f>
        <v>0</v>
      </c>
      <c r="G9" s="55">
        <v>4.5</v>
      </c>
      <c r="H9" s="55">
        <f t="shared" si="0"/>
        <v>157.85000000000008</v>
      </c>
      <c r="I9" s="55">
        <f t="shared" si="1"/>
        <v>102.30000000000001</v>
      </c>
      <c r="J9" s="55">
        <f>+Jagot!I48</f>
        <v>3.5</v>
      </c>
      <c r="K9" s="56">
        <f t="shared" si="2"/>
        <v>263.6500000000001</v>
      </c>
      <c r="M9" s="54">
        <f>+COUNTIF(Jagot!$J$5:$J$32,"&gt;0")</f>
        <v>18</v>
      </c>
      <c r="N9" s="55">
        <f>+Jagot!J34</f>
        <v>131.6</v>
      </c>
      <c r="P9" s="54">
        <f>+COUNTIF(Jagot!$K$5:$K$32,"&gt;0")</f>
        <v>11</v>
      </c>
      <c r="Q9" s="55">
        <f>+Jagot!K34</f>
        <v>77.35</v>
      </c>
      <c r="S9" s="54">
        <f>+COUNTIF(Jagot!$L$5:$L$32,"&gt;0")</f>
        <v>8</v>
      </c>
      <c r="T9" s="55">
        <f>+Jagot!L34</f>
        <v>63.35</v>
      </c>
      <c r="V9" s="54">
        <f>+COUNTIF(Jagot!$M$5:$M$32,"&gt;0")</f>
        <v>6</v>
      </c>
      <c r="W9" s="55">
        <f>+Jagot!M34</f>
        <v>49.7</v>
      </c>
      <c r="Y9" s="57">
        <v>6</v>
      </c>
      <c r="Z9" s="57">
        <v>1</v>
      </c>
      <c r="AA9" s="54">
        <f>T29+N30</f>
        <v>420</v>
      </c>
    </row>
    <row r="10" spans="1:27" s="53" customFormat="1" ht="15" customHeight="1">
      <c r="A10" s="52" t="s">
        <v>10</v>
      </c>
      <c r="C10" s="54">
        <f>+COUNTIF(WoodfordB!$I$5:$I$32,"&gt;0")</f>
        <v>28</v>
      </c>
      <c r="D10" s="55">
        <f>+WoodfordB!I34</f>
        <v>141.60000000000005</v>
      </c>
      <c r="E10" s="55">
        <f>+WoodfordB!I72</f>
        <v>10.000000000000002</v>
      </c>
      <c r="F10" s="55">
        <f>+WoodfordB!I81</f>
        <v>0</v>
      </c>
      <c r="G10" s="55">
        <f>1.2+0.3</f>
        <v>1.5</v>
      </c>
      <c r="H10" s="55">
        <f t="shared" si="0"/>
        <v>150.10000000000005</v>
      </c>
      <c r="I10" s="55">
        <f t="shared" si="1"/>
        <v>50</v>
      </c>
      <c r="J10" s="55">
        <f>+WoodfordB!I48</f>
        <v>8.000000000000002</v>
      </c>
      <c r="K10" s="56">
        <f t="shared" si="2"/>
        <v>208.10000000000005</v>
      </c>
      <c r="M10" s="54">
        <f>+COUNTIF(WoodfordB!$J$5:$J$32,"&gt;0")</f>
        <v>22</v>
      </c>
      <c r="N10" s="55">
        <f>+WoodfordB!J34</f>
        <v>123.7</v>
      </c>
      <c r="P10" s="54">
        <f>+COUNTIF(WoodfordB!$K$5:$K$32,"&gt;0")</f>
        <v>14</v>
      </c>
      <c r="Q10" s="55">
        <f>+WoodfordB!K34</f>
        <v>85.75</v>
      </c>
      <c r="S10" s="54">
        <f>+COUNTIF(WoodfordB!$L$5:$L$32,"&gt;0")</f>
        <v>7</v>
      </c>
      <c r="T10" s="55">
        <f>+WoodfordB!L34</f>
        <v>48.50000000000001</v>
      </c>
      <c r="V10" s="54">
        <f>+COUNTIF(WoodfordB!$M$5:$M$32,"&gt;0")</f>
        <v>4</v>
      </c>
      <c r="W10" s="55">
        <f>+WoodfordB!M34</f>
        <v>31.95</v>
      </c>
      <c r="Y10" s="57">
        <v>8</v>
      </c>
      <c r="Z10" s="57"/>
      <c r="AA10" s="54">
        <f>T31</f>
        <v>71</v>
      </c>
    </row>
    <row r="11" spans="1:27" s="53" customFormat="1" ht="15" customHeight="1">
      <c r="A11" s="52" t="s">
        <v>79</v>
      </c>
      <c r="C11" s="54">
        <f>+COUNTIF(Berdie!$I$5:$I$32,"&gt;0")</f>
        <v>28</v>
      </c>
      <c r="D11" s="55">
        <f>+Berdie!I34</f>
        <v>134.15000000000006</v>
      </c>
      <c r="E11" s="55">
        <f>+Berdie!I73</f>
        <v>21.650000000000006</v>
      </c>
      <c r="F11" s="55">
        <f>+Berdie!I83</f>
        <v>0</v>
      </c>
      <c r="G11" s="55">
        <f>1.5+2.3+3.25+1</f>
        <v>8.05</v>
      </c>
      <c r="H11" s="55">
        <f t="shared" si="0"/>
        <v>147.75000000000006</v>
      </c>
      <c r="I11" s="55">
        <f t="shared" si="1"/>
        <v>40.650000000000006</v>
      </c>
      <c r="J11" s="55">
        <f>+Berdie!I48</f>
        <v>13.700000000000001</v>
      </c>
      <c r="K11" s="56">
        <f t="shared" si="2"/>
        <v>202.10000000000005</v>
      </c>
      <c r="M11" s="54">
        <f>+COUNTIF(Berdie!$J$5:$J$32,"&gt;0")</f>
        <v>22</v>
      </c>
      <c r="N11" s="55">
        <f>+Berdie!J34</f>
        <v>118.10000000000001</v>
      </c>
      <c r="P11" s="54">
        <f>+COUNTIF(Berdie!$K$5:$K$32,"&gt;0")</f>
        <v>18</v>
      </c>
      <c r="Q11" s="55">
        <f>+Berdie!K34</f>
        <v>100</v>
      </c>
      <c r="S11" s="54">
        <f>+COUNTIF(Berdie!$L$5:$L$32,"&gt;0")</f>
        <v>7</v>
      </c>
      <c r="T11" s="55">
        <f>+Berdie!L34</f>
        <v>27.3</v>
      </c>
      <c r="V11" s="54">
        <f>+COUNTIF(Berdie!$M$5:$M$32,"&gt;0")</f>
        <v>3</v>
      </c>
      <c r="W11" s="55">
        <f>+Berdie!M34</f>
        <v>9.15</v>
      </c>
      <c r="Y11" s="57">
        <v>7</v>
      </c>
      <c r="Z11" s="57"/>
      <c r="AA11" s="54">
        <f>T30</f>
        <v>89</v>
      </c>
    </row>
    <row r="12" spans="1:27" s="53" customFormat="1" ht="15" customHeight="1">
      <c r="A12" s="52" t="s">
        <v>11</v>
      </c>
      <c r="C12" s="54">
        <f>+COUNTIF(WoodfordW!$I$5:$I$32,"&gt;0")</f>
        <v>28</v>
      </c>
      <c r="D12" s="55">
        <f>+WoodfordW!I34</f>
        <v>133.35000000000005</v>
      </c>
      <c r="E12" s="55">
        <f>+WoodfordW!I70</f>
        <v>14.55</v>
      </c>
      <c r="F12" s="55">
        <f>WoodfordW!I79</f>
        <v>0</v>
      </c>
      <c r="G12" s="55">
        <f>2.25+1.2+0.95+0.75</f>
        <v>5.15</v>
      </c>
      <c r="H12" s="55">
        <f t="shared" si="0"/>
        <v>142.75000000000006</v>
      </c>
      <c r="I12" s="55">
        <f t="shared" si="1"/>
        <v>20.650000000000002</v>
      </c>
      <c r="J12" s="55">
        <f>+WoodfordW!I48</f>
        <v>7.000000000000001</v>
      </c>
      <c r="K12" s="56">
        <f t="shared" si="2"/>
        <v>170.40000000000006</v>
      </c>
      <c r="M12" s="54">
        <f>+COUNTIF(WoodfordW!$J$5:$J$32,"&gt;0")</f>
        <v>15</v>
      </c>
      <c r="N12" s="55">
        <f>+WoodfordW!J34</f>
        <v>76.5</v>
      </c>
      <c r="P12" s="54">
        <f>+COUNTIF(WoodfordW!$K$5:$K$32,"&gt;0")</f>
        <v>11</v>
      </c>
      <c r="Q12" s="55">
        <f>+WoodfordW!K34</f>
        <v>62.35000000000001</v>
      </c>
      <c r="S12" s="54">
        <f>+COUNTIF(WoodfordW!$L$5:$L$32,"&gt;0")</f>
        <v>6</v>
      </c>
      <c r="T12" s="55">
        <f>+WoodfordW!L34</f>
        <v>33.5</v>
      </c>
      <c r="V12" s="54">
        <f>+COUNTIF(WoodfordW!$M$5:$M$32,"&gt;0")</f>
        <v>4</v>
      </c>
      <c r="W12" s="55">
        <f>+WoodfordW!M34</f>
        <v>19</v>
      </c>
      <c r="Y12" s="57">
        <v>2</v>
      </c>
      <c r="Z12" s="57"/>
      <c r="AA12" s="54">
        <f>Q30</f>
        <v>319</v>
      </c>
    </row>
    <row r="13" spans="1:27" s="53" customFormat="1" ht="15" customHeight="1">
      <c r="A13" s="52" t="s">
        <v>99</v>
      </c>
      <c r="C13" s="54">
        <f>+COUNTIF(Fernald!$I$5:$I$32,"&gt;0")</f>
        <v>28</v>
      </c>
      <c r="D13" s="55">
        <f>+Fernald!I34</f>
        <v>127.30000000000001</v>
      </c>
      <c r="E13" s="55">
        <f>+Fernald!I70</f>
        <v>8.3</v>
      </c>
      <c r="F13" s="55">
        <f>+Fernald!I81</f>
        <v>-4.85</v>
      </c>
      <c r="G13" s="55">
        <v>0</v>
      </c>
      <c r="H13" s="55">
        <f t="shared" si="0"/>
        <v>130.75000000000003</v>
      </c>
      <c r="I13" s="55">
        <f t="shared" si="1"/>
        <v>2.8000000000000003</v>
      </c>
      <c r="J13" s="55">
        <f>+Fernald!I48</f>
        <v>19.799999999999997</v>
      </c>
      <c r="K13" s="56">
        <f t="shared" si="2"/>
        <v>153.35000000000002</v>
      </c>
      <c r="M13" s="54">
        <f>+COUNTIF(Fernald!$J$5:$J$32,"&gt;0")</f>
        <v>11</v>
      </c>
      <c r="N13" s="55">
        <f>+Fernald!J34</f>
        <v>64.60000000000001</v>
      </c>
      <c r="P13" s="54">
        <f>+COUNTIF(Fernald!$K$5:$K$32,"&gt;0")</f>
        <v>6</v>
      </c>
      <c r="Q13" s="55">
        <f>+Fernald!K34</f>
        <v>37.7</v>
      </c>
      <c r="S13" s="54">
        <f>+COUNTIF(Fernald!$L$5:$L$32,"&gt;0")</f>
        <v>3</v>
      </c>
      <c r="T13" s="55">
        <f>+Fernald!L34</f>
        <v>18.05</v>
      </c>
      <c r="V13" s="54">
        <f>+COUNTIF(Fernald!$M$5:$M$32,"&gt;0")</f>
        <v>2</v>
      </c>
      <c r="W13" s="55">
        <f>+Fernald!M34</f>
        <v>8</v>
      </c>
      <c r="Y13" s="57">
        <v>1</v>
      </c>
      <c r="Z13" s="57"/>
      <c r="AA13" s="54">
        <f>Q29</f>
        <v>514</v>
      </c>
    </row>
    <row r="14" spans="1:27" s="53" customFormat="1" ht="15" customHeight="1">
      <c r="A14" s="52" t="s">
        <v>8</v>
      </c>
      <c r="C14" s="54">
        <f>+COUNTIF(Cadmus!$I$5:$I$32,"&gt;0")</f>
        <v>28</v>
      </c>
      <c r="D14" s="55">
        <f>+Cadmus!I34</f>
        <v>123.39999999999995</v>
      </c>
      <c r="E14" s="55">
        <f>+Cadmus!I67</f>
        <v>20.950000000000003</v>
      </c>
      <c r="F14" s="55">
        <f>+Cadmus!I76</f>
        <v>0</v>
      </c>
      <c r="G14" s="55">
        <v>8.25</v>
      </c>
      <c r="H14" s="55">
        <f t="shared" si="0"/>
        <v>136.09999999999997</v>
      </c>
      <c r="I14" s="55">
        <f t="shared" si="1"/>
        <v>8.1</v>
      </c>
      <c r="J14" s="55">
        <f>+Cadmus!I48</f>
        <v>5.6499999999999995</v>
      </c>
      <c r="K14" s="56">
        <f t="shared" si="2"/>
        <v>149.84999999999997</v>
      </c>
      <c r="M14" s="54">
        <f>+COUNTIF(Cadmus!$J$5:$J$32,"&gt;0")</f>
        <v>11</v>
      </c>
      <c r="N14" s="55">
        <f>+Cadmus!J34</f>
        <v>76.39999999999999</v>
      </c>
      <c r="P14" s="54">
        <f>+COUNTIF(Cadmus!$K$5:$K$32,"&gt;0")</f>
        <v>9</v>
      </c>
      <c r="Q14" s="55">
        <f>+Cadmus!K34</f>
        <v>62.7</v>
      </c>
      <c r="S14" s="54">
        <f>+COUNTIF(Cadmus!$L$5:$L$32,"&gt;0")</f>
        <v>1</v>
      </c>
      <c r="T14" s="55">
        <f>+Cadmus!L34</f>
        <v>8.35</v>
      </c>
      <c r="V14" s="54">
        <f>+COUNTIF(Cadmus!$M$5:$M$32,"&gt;0")</f>
        <v>1</v>
      </c>
      <c r="W14" s="55">
        <f>+Cadmus!M34</f>
        <v>8.35</v>
      </c>
      <c r="Y14" s="57">
        <v>4</v>
      </c>
      <c r="Z14" s="57">
        <v>2</v>
      </c>
      <c r="AA14" s="54">
        <f>Q32+N31</f>
        <v>402</v>
      </c>
    </row>
    <row r="15" spans="1:27" s="53" customFormat="1" ht="15" customHeight="1">
      <c r="A15" s="52" t="s">
        <v>291</v>
      </c>
      <c r="C15" s="54">
        <f>+COUNTIF(Uberoi!$I$5:$I$32,"&gt;0")</f>
        <v>24</v>
      </c>
      <c r="D15" s="55">
        <f>+Uberoi!I34</f>
        <v>112.39999999999998</v>
      </c>
      <c r="E15" s="55">
        <f>+Uberoi!I69</f>
        <v>25.250000000000004</v>
      </c>
      <c r="F15" s="55">
        <f>+Uberoi!I78</f>
        <v>4.85</v>
      </c>
      <c r="G15" s="55">
        <f>7.05+2.15</f>
        <v>9.2</v>
      </c>
      <c r="H15" s="55">
        <f t="shared" si="0"/>
        <v>133.29999999999998</v>
      </c>
      <c r="I15" s="55">
        <f t="shared" si="1"/>
        <v>5.300000000000001</v>
      </c>
      <c r="J15" s="55">
        <f>+Uberoi!I47</f>
        <v>6.699999999999999</v>
      </c>
      <c r="K15" s="56">
        <f t="shared" si="2"/>
        <v>145.29999999999998</v>
      </c>
      <c r="M15" s="54">
        <f>+COUNTIF(Uberoi!$J$5:$J$32,"&gt;0")</f>
        <v>15</v>
      </c>
      <c r="N15" s="55">
        <f>+Uberoi!J34</f>
        <v>78.95</v>
      </c>
      <c r="P15" s="54">
        <f>+COUNTIF(Uberoi!$K$5:$K$32,"&gt;0")</f>
        <v>11</v>
      </c>
      <c r="Q15" s="55">
        <f>+Uberoi!K34</f>
        <v>67.55</v>
      </c>
      <c r="S15" s="54">
        <f>+COUNTIF(Uberoi!$L$5:$L$32,"&gt;0")</f>
        <v>10</v>
      </c>
      <c r="T15" s="55">
        <f>+Uberoi!L34</f>
        <v>65.8</v>
      </c>
      <c r="V15" s="54">
        <f>+COUNTIF(Uberoi!$M$5:$M$32,"&gt;0")</f>
        <v>4</v>
      </c>
      <c r="W15" s="55">
        <f>+Uberoi!M34</f>
        <v>38.65</v>
      </c>
      <c r="Y15" s="57">
        <v>17</v>
      </c>
      <c r="Z15" s="57"/>
      <c r="AA15" s="54"/>
    </row>
    <row r="16" spans="1:27" s="53" customFormat="1" ht="15" customHeight="1">
      <c r="A16" s="52" t="s">
        <v>115</v>
      </c>
      <c r="C16" s="54">
        <f>+COUNTIF(Chockalingam!$I$5:$I$32,"&gt;0")</f>
        <v>28</v>
      </c>
      <c r="D16" s="55">
        <f>+Chockalingam!I34</f>
        <v>124.40000000000003</v>
      </c>
      <c r="E16" s="55">
        <f>+Chockalingam!I65</f>
        <v>13.100000000000001</v>
      </c>
      <c r="F16" s="55">
        <f>+Chockalingam!I74</f>
        <v>0</v>
      </c>
      <c r="G16" s="55">
        <v>4</v>
      </c>
      <c r="H16" s="55">
        <f t="shared" si="0"/>
        <v>133.50000000000003</v>
      </c>
      <c r="I16" s="55">
        <f t="shared" si="1"/>
        <v>5.550000000000001</v>
      </c>
      <c r="J16" s="55">
        <f>+Chockalingam!I48</f>
        <v>3.15</v>
      </c>
      <c r="K16" s="56">
        <f t="shared" si="2"/>
        <v>142.20000000000005</v>
      </c>
      <c r="M16" s="54">
        <f>+COUNTIF(Chockalingam!$J$5:$J$32,"&gt;0")</f>
        <v>19</v>
      </c>
      <c r="N16" s="55">
        <f>+Chockalingam!J34</f>
        <v>67.70000000000002</v>
      </c>
      <c r="P16" s="54">
        <f>+COUNTIF(Chockalingam!$K$5:$K$32,"&gt;0")</f>
        <v>12</v>
      </c>
      <c r="Q16" s="55">
        <f>+Chockalingam!K34</f>
        <v>35.25</v>
      </c>
      <c r="S16" s="54">
        <f>+COUNTIF(Chockalingam!$L$5:$L$32,"&gt;0")</f>
        <v>5</v>
      </c>
      <c r="T16" s="55">
        <f>+Chockalingam!L34</f>
        <v>14.399999999999999</v>
      </c>
      <c r="V16" s="54">
        <f>+COUNTIF(Chockalingam!$M$5:$M$32,"&gt;0")</f>
        <v>2</v>
      </c>
      <c r="W16" s="55">
        <f>+Chockalingam!M34</f>
        <v>4.85</v>
      </c>
      <c r="Y16" s="57">
        <v>16</v>
      </c>
      <c r="Z16" s="57"/>
      <c r="AA16" s="54">
        <v>0</v>
      </c>
    </row>
    <row r="17" spans="1:27" s="53" customFormat="1" ht="15" customHeight="1">
      <c r="A17" s="52" t="s">
        <v>9</v>
      </c>
      <c r="C17" s="54">
        <f>+COUNTIF(Rittenhouse!$I$5:$I$32,"&gt;0")</f>
        <v>28</v>
      </c>
      <c r="D17" s="55">
        <f>+Rittenhouse!I34</f>
        <v>116.04999999999997</v>
      </c>
      <c r="E17" s="55">
        <f>+Rittenhouse!I73</f>
        <v>20.1</v>
      </c>
      <c r="F17" s="55">
        <f>+Rittenhouse!I82</f>
        <v>0</v>
      </c>
      <c r="G17" s="55">
        <f>1.4+0.6+1.15</f>
        <v>3.15</v>
      </c>
      <c r="H17" s="55">
        <f t="shared" si="0"/>
        <v>132.99999999999997</v>
      </c>
      <c r="I17" s="55">
        <f t="shared" si="1"/>
        <v>5</v>
      </c>
      <c r="J17" s="55">
        <f>+Rittenhouse!I48</f>
        <v>1.8</v>
      </c>
      <c r="K17" s="56">
        <f t="shared" si="2"/>
        <v>139.79999999999998</v>
      </c>
      <c r="M17" s="54">
        <f>+COUNTIF(Rittenhouse!$J$5:$J$32,"&gt;0")</f>
        <v>15</v>
      </c>
      <c r="N17" s="55">
        <f>+Rittenhouse!J34</f>
        <v>85.14999999999999</v>
      </c>
      <c r="P17" s="54">
        <f>+COUNTIF(Rittenhouse!$K$5:$K$32,"&gt;0")</f>
        <v>12</v>
      </c>
      <c r="Q17" s="55">
        <f>+Rittenhouse!K34</f>
        <v>64.8</v>
      </c>
      <c r="S17" s="54">
        <f>+COUNTIF(Rittenhouse!$L$5:$L$32,"&gt;0")</f>
        <v>6</v>
      </c>
      <c r="T17" s="55">
        <f>+Rittenhouse!L34</f>
        <v>32.1</v>
      </c>
      <c r="V17" s="54">
        <f>+COUNTIF(Rittenhouse!$M$5:$M$32,"&gt;0")</f>
        <v>4</v>
      </c>
      <c r="W17" s="55">
        <f>+Rittenhouse!M34</f>
        <v>20.25</v>
      </c>
      <c r="Y17" s="57">
        <v>9</v>
      </c>
      <c r="Z17" s="57">
        <v>3</v>
      </c>
      <c r="AA17" s="54">
        <f>T32+N32</f>
        <v>123</v>
      </c>
    </row>
    <row r="18" spans="1:27" s="53" customFormat="1" ht="15" customHeight="1">
      <c r="A18" s="52" t="s">
        <v>7</v>
      </c>
      <c r="C18" s="54">
        <f>+COUNTIF(Barton!$I$5:$I$32,"&gt;0")</f>
        <v>28</v>
      </c>
      <c r="D18" s="55">
        <f>+Barton!I34</f>
        <v>135.05000000000004</v>
      </c>
      <c r="E18" s="55">
        <f>+Barton!I65</f>
        <v>5.55</v>
      </c>
      <c r="F18" s="55">
        <f>+Barton!I74</f>
        <v>0</v>
      </c>
      <c r="G18" s="55">
        <f>10.05+3.35+1.2+1.05</f>
        <v>15.65</v>
      </c>
      <c r="H18" s="55">
        <f t="shared" si="0"/>
        <v>124.95000000000005</v>
      </c>
      <c r="I18" s="55">
        <f t="shared" si="1"/>
        <v>0</v>
      </c>
      <c r="J18" s="55">
        <f>+Barton!I48</f>
        <v>0.35000000000000003</v>
      </c>
      <c r="K18" s="56">
        <f t="shared" si="2"/>
        <v>125.30000000000004</v>
      </c>
      <c r="M18" s="54">
        <f>+COUNTIF(Barton!$J$5:$J$32,"&gt;0")</f>
        <v>18</v>
      </c>
      <c r="N18" s="55">
        <f>+Barton!J34</f>
        <v>105.79999999999998</v>
      </c>
      <c r="P18" s="54">
        <f>+COUNTIF(Barton!$K$5:$K$32,"&gt;0")</f>
        <v>14</v>
      </c>
      <c r="Q18" s="55">
        <f>+Barton!K34</f>
        <v>57.79999999999999</v>
      </c>
      <c r="S18" s="54">
        <f>+COUNTIF(Barton!$L$5:$L$32,"&gt;0")</f>
        <v>7</v>
      </c>
      <c r="T18" s="55">
        <f>+Barton!L34</f>
        <v>31.6</v>
      </c>
      <c r="V18" s="54">
        <f>+COUNTIF(Barton!$M$5:$M$32,"&gt;0")</f>
        <v>3</v>
      </c>
      <c r="W18" s="55">
        <f>+Barton!M34</f>
        <v>3.9000000000000004</v>
      </c>
      <c r="Y18" s="57">
        <v>11</v>
      </c>
      <c r="Z18" s="57"/>
      <c r="AA18" s="54">
        <v>0</v>
      </c>
    </row>
    <row r="19" spans="1:27" s="53" customFormat="1" ht="15" customHeight="1">
      <c r="A19" s="106" t="s">
        <v>416</v>
      </c>
      <c r="C19" s="54">
        <f>+COUNTIF(Barklage!$I$5:$I$32,"&gt;0")</f>
        <v>26</v>
      </c>
      <c r="D19" s="55">
        <f>+Barklage!I34</f>
        <v>116.99999999999996</v>
      </c>
      <c r="E19" s="55">
        <f>+Barklage!I64</f>
        <v>1.85</v>
      </c>
      <c r="F19" s="55">
        <f>+Barklage!I73</f>
        <v>0</v>
      </c>
      <c r="G19" s="55">
        <v>0</v>
      </c>
      <c r="H19" s="55">
        <f t="shared" si="0"/>
        <v>118.84999999999995</v>
      </c>
      <c r="I19" s="55">
        <f t="shared" si="1"/>
        <v>0</v>
      </c>
      <c r="J19" s="55">
        <f>+Barklage!I47</f>
        <v>2.85</v>
      </c>
      <c r="K19" s="56">
        <f t="shared" si="2"/>
        <v>121.69999999999995</v>
      </c>
      <c r="M19" s="54">
        <f>+COUNTIF(Barklage!$J$5:$J$32,"&gt;0")</f>
        <v>12</v>
      </c>
      <c r="N19" s="55">
        <f>+Barklage!J34</f>
        <v>79.09999999999998</v>
      </c>
      <c r="P19" s="54">
        <f>+COUNTIF(Barklage!$K$5:$K$32,"&gt;0")</f>
        <v>11</v>
      </c>
      <c r="Q19" s="55">
        <f>+Barklage!K34</f>
        <v>74.84999999999998</v>
      </c>
      <c r="S19" s="54">
        <f>+COUNTIF(Barklage!$L$5:$L$32,"&gt;0")</f>
        <v>4</v>
      </c>
      <c r="T19" s="55">
        <f>+Barklage!L34</f>
        <v>36.7</v>
      </c>
      <c r="V19" s="54">
        <f>+COUNTIF(Barklage!$M$5:$M$32,"&gt;0")</f>
        <v>2</v>
      </c>
      <c r="W19" s="55">
        <f>+Barklage!M34</f>
        <v>15.3</v>
      </c>
      <c r="Y19" s="57">
        <v>13</v>
      </c>
      <c r="Z19" s="57"/>
      <c r="AA19" s="54"/>
    </row>
    <row r="20" spans="1:27" s="53" customFormat="1" ht="15" customHeight="1">
      <c r="A20" s="52" t="s">
        <v>107</v>
      </c>
      <c r="C20" s="54">
        <f>+COUNTIF(Biegler!$I$5:$I$32,"&gt;0")</f>
        <v>23</v>
      </c>
      <c r="D20" s="55">
        <f>+Biegler!I34</f>
        <v>107.69999999999999</v>
      </c>
      <c r="E20" s="55">
        <f>+Biegler!I67</f>
        <v>1.4</v>
      </c>
      <c r="F20" s="55">
        <f>+Biegler!I79</f>
        <v>0</v>
      </c>
      <c r="G20" s="55">
        <v>0</v>
      </c>
      <c r="H20" s="55">
        <f t="shared" si="0"/>
        <v>109.1</v>
      </c>
      <c r="I20" s="55">
        <f t="shared" si="1"/>
        <v>0</v>
      </c>
      <c r="J20" s="55">
        <f>+Biegler!I48</f>
        <v>7.950000000000001</v>
      </c>
      <c r="K20" s="56">
        <f t="shared" si="2"/>
        <v>117.05</v>
      </c>
      <c r="M20" s="54">
        <f>+COUNTIF(Biegler!$J$5:$J$32,"&gt;0")</f>
        <v>17</v>
      </c>
      <c r="N20" s="55">
        <f>+Biegler!J34</f>
        <v>89</v>
      </c>
      <c r="P20" s="54">
        <f>+COUNTIF(Biegler!$K$5:$K$32,"&gt;0")</f>
        <v>12</v>
      </c>
      <c r="Q20" s="55">
        <f>+Biegler!K34</f>
        <v>66.14999999999999</v>
      </c>
      <c r="S20" s="54">
        <f>+COUNTIF(Biegler!$L$5:$L$32,"&gt;0")</f>
        <v>8</v>
      </c>
      <c r="T20" s="55">
        <f>+Biegler!L34</f>
        <v>42.099999999999994</v>
      </c>
      <c r="V20" s="54">
        <f>+COUNTIF(Biegler!$M$5:$M$32,"&gt;0")</f>
        <v>2</v>
      </c>
      <c r="W20" s="55">
        <f>+Biegler!M34</f>
        <v>10.2</v>
      </c>
      <c r="Y20" s="57">
        <v>15</v>
      </c>
      <c r="Z20" s="57"/>
      <c r="AA20" s="54">
        <v>0</v>
      </c>
    </row>
    <row r="21" spans="1:27" s="53" customFormat="1" ht="15" customHeight="1">
      <c r="A21" s="52" t="s">
        <v>211</v>
      </c>
      <c r="C21" s="54">
        <f>+COUNTIF(Wilt!$I$5:$I$32,"&gt;0")</f>
        <v>28</v>
      </c>
      <c r="D21" s="55">
        <f>+Wilt!I34</f>
        <v>103.09999999999997</v>
      </c>
      <c r="E21" s="55">
        <f>+Wilt!I65</f>
        <v>12.400000000000002</v>
      </c>
      <c r="F21" s="55">
        <f>+Wilt!I74</f>
        <v>0</v>
      </c>
      <c r="G21" s="55">
        <v>0</v>
      </c>
      <c r="H21" s="55">
        <f t="shared" si="0"/>
        <v>115.49999999999997</v>
      </c>
      <c r="I21" s="55">
        <f t="shared" si="1"/>
        <v>0</v>
      </c>
      <c r="J21" s="55">
        <f>+Wilt!I48</f>
        <v>1.4000000000000001</v>
      </c>
      <c r="K21" s="56">
        <f t="shared" si="2"/>
        <v>116.89999999999998</v>
      </c>
      <c r="M21" s="54">
        <f>+COUNTIF(Wilt!$J$5:$J$32,"&gt;0")</f>
        <v>5</v>
      </c>
      <c r="N21" s="55">
        <f>+Wilt!J34</f>
        <v>31.85</v>
      </c>
      <c r="P21" s="54">
        <f>+COUNTIF(Wilt!$K$5:$K$32,"&gt;0")</f>
        <v>5</v>
      </c>
      <c r="Q21" s="55">
        <f>+Wilt!K34</f>
        <v>31.85</v>
      </c>
      <c r="S21" s="54">
        <f>+COUNTIF(Wilt!$L$5:$L$32,"&gt;0")</f>
        <v>4</v>
      </c>
      <c r="T21" s="55">
        <f>+Wilt!L34</f>
        <v>28.6</v>
      </c>
      <c r="V21" s="54">
        <f>+COUNTIF(Wilt!$M$5:$M$32,"&gt;0")</f>
        <v>1</v>
      </c>
      <c r="W21" s="55">
        <f>+Wilt!M34</f>
        <v>11.5</v>
      </c>
      <c r="Y21" s="57">
        <v>18</v>
      </c>
      <c r="Z21" s="57"/>
      <c r="AA21" s="54">
        <v>0</v>
      </c>
    </row>
    <row r="22" spans="1:27" s="53" customFormat="1" ht="15" customHeight="1">
      <c r="A22" s="52" t="s">
        <v>209</v>
      </c>
      <c r="C22" s="54">
        <f>+COUNTIF(Kumar!$I$5:$I$32,"&gt;0")</f>
        <v>28</v>
      </c>
      <c r="D22" s="55">
        <f>+Kumar!I34</f>
        <v>105.04999999999997</v>
      </c>
      <c r="E22" s="55">
        <f>+Kumar!I70</f>
        <v>8.2</v>
      </c>
      <c r="F22" s="55">
        <f>+Kumar!I79</f>
        <v>0</v>
      </c>
      <c r="G22" s="55">
        <v>0</v>
      </c>
      <c r="H22" s="55">
        <f t="shared" si="0"/>
        <v>113.24999999999997</v>
      </c>
      <c r="I22" s="55">
        <f t="shared" si="1"/>
        <v>0</v>
      </c>
      <c r="J22" s="55">
        <f>+Kumar!I48</f>
        <v>2.8499999999999996</v>
      </c>
      <c r="K22" s="56">
        <f t="shared" si="2"/>
        <v>116.09999999999997</v>
      </c>
      <c r="M22" s="54">
        <f>+COUNTIF(Kumar!$J$5:$J$32,"&gt;0")</f>
        <v>13</v>
      </c>
      <c r="N22" s="55">
        <f>+Kumar!J34</f>
        <v>69.39999999999999</v>
      </c>
      <c r="P22" s="54">
        <f>+COUNTIF(Kumar!$K$5:$K$32,"&gt;0")</f>
        <v>11</v>
      </c>
      <c r="Q22" s="55">
        <f>+Kumar!K34</f>
        <v>59.4</v>
      </c>
      <c r="S22" s="54">
        <f>+COUNTIF(Kumar!$L$5:$L$32,"&gt;0")</f>
        <v>4</v>
      </c>
      <c r="T22" s="55">
        <f>+Kumar!L34</f>
        <v>24.199999999999996</v>
      </c>
      <c r="V22" s="54">
        <f>+COUNTIF(Kumar!$M$5:$M$32,"&gt;0")</f>
        <v>2</v>
      </c>
      <c r="W22" s="55">
        <f>+Kumar!M34</f>
        <v>9.35</v>
      </c>
      <c r="Y22" s="57">
        <v>14</v>
      </c>
      <c r="Z22" s="57"/>
      <c r="AA22" s="54">
        <v>0</v>
      </c>
    </row>
    <row r="23" spans="1:27" s="53" customFormat="1" ht="15" customHeight="1">
      <c r="A23" s="106" t="s">
        <v>113</v>
      </c>
      <c r="C23" s="54">
        <f>+COUNTIF(Losurdo!$I$5:$I$32,"&gt;0")</f>
        <v>24</v>
      </c>
      <c r="D23" s="55">
        <f>+Losurdo!I34</f>
        <v>101.55000000000001</v>
      </c>
      <c r="E23" s="55">
        <f>+Losurdo!I73</f>
        <v>4.4</v>
      </c>
      <c r="F23" s="55">
        <f>+Losurdo!I82</f>
        <v>0</v>
      </c>
      <c r="G23" s="55">
        <v>0</v>
      </c>
      <c r="H23" s="55">
        <f t="shared" si="0"/>
        <v>105.95000000000002</v>
      </c>
      <c r="I23" s="55">
        <f t="shared" si="1"/>
        <v>0</v>
      </c>
      <c r="J23" s="55">
        <f>+Losurdo!I48</f>
        <v>9.650000000000002</v>
      </c>
      <c r="K23" s="56">
        <f t="shared" si="2"/>
        <v>115.60000000000002</v>
      </c>
      <c r="M23" s="54">
        <f>+COUNTIF(Losurdo!$J$5:$J$32,"&gt;0")</f>
        <v>18</v>
      </c>
      <c r="N23" s="55">
        <f>+Losurdo!J34</f>
        <v>81.5</v>
      </c>
      <c r="P23" s="54">
        <f>+COUNTIF(Losurdo!$K$5:$K$32,"&gt;0")</f>
        <v>16</v>
      </c>
      <c r="Q23" s="55">
        <f>+Losurdo!K34</f>
        <v>69.85</v>
      </c>
      <c r="S23" s="54">
        <f>+COUNTIF(Losurdo!$L$5:$L$32,"&gt;0")</f>
        <v>13</v>
      </c>
      <c r="T23" s="55">
        <f>+Losurdo!L34</f>
        <v>63.95</v>
      </c>
      <c r="V23" s="54">
        <f>+COUNTIF(Losurdo!$M$5:$M$32,"&gt;0")</f>
        <v>5</v>
      </c>
      <c r="W23" s="55">
        <f>+Losurdo!M34</f>
        <v>36.85</v>
      </c>
      <c r="Y23" s="57">
        <v>12</v>
      </c>
      <c r="Z23" s="57"/>
      <c r="AA23" s="54"/>
    </row>
    <row r="24" spans="1:27" s="53" customFormat="1" ht="15" customHeight="1">
      <c r="A24" s="106" t="s">
        <v>687</v>
      </c>
      <c r="C24" s="54">
        <f>+COUNTIF(Schaefer!$I$5:$I$32,"&gt;0")</f>
        <v>24</v>
      </c>
      <c r="D24" s="55">
        <f>+Schaefer!I34</f>
        <v>98.04999999999997</v>
      </c>
      <c r="E24" s="55">
        <f>+Schaefer!I64</f>
        <v>1.55</v>
      </c>
      <c r="F24" s="55">
        <f>+Schaefer!I73</f>
        <v>0</v>
      </c>
      <c r="G24" s="55">
        <v>0</v>
      </c>
      <c r="H24" s="55">
        <f t="shared" si="0"/>
        <v>99.59999999999997</v>
      </c>
      <c r="I24" s="55">
        <f t="shared" si="1"/>
        <v>0</v>
      </c>
      <c r="J24" s="55">
        <f>+Schaefer!I47</f>
        <v>0</v>
      </c>
      <c r="K24" s="56">
        <f t="shared" si="2"/>
        <v>99.59999999999997</v>
      </c>
      <c r="M24" s="54">
        <f>+COUNTIF(Schaefer!$J$5:$J$32,"&gt;0")</f>
        <v>16</v>
      </c>
      <c r="N24" s="55">
        <f>+Schaefer!J34</f>
        <v>80.49999999999999</v>
      </c>
      <c r="P24" s="54">
        <f>+COUNTIF(Schaefer!$K$5:$K$32,"&gt;0")</f>
        <v>7</v>
      </c>
      <c r="Q24" s="55">
        <f>+Schaefer!K34</f>
        <v>33.7</v>
      </c>
      <c r="S24" s="54">
        <f>+COUNTIF(Schaefer!$L$5:$L$32,"&gt;0")</f>
        <v>5</v>
      </c>
      <c r="T24" s="55">
        <f>+Schaefer!L34</f>
        <v>24.05</v>
      </c>
      <c r="V24" s="54">
        <f>+COUNTIF(Schaefer!$M$5:$M$32,"&gt;0")</f>
        <v>4</v>
      </c>
      <c r="W24" s="55">
        <f>+Schaefer!M34</f>
        <v>17</v>
      </c>
      <c r="Y24" s="57">
        <v>10</v>
      </c>
      <c r="Z24" s="57"/>
      <c r="AA24" s="91" t="s">
        <v>813</v>
      </c>
    </row>
    <row r="25" spans="1:27" s="53" customFormat="1" ht="15" customHeight="1" thickBot="1">
      <c r="A25" s="58"/>
      <c r="B25" s="59"/>
      <c r="C25" s="60"/>
      <c r="D25" s="61"/>
      <c r="E25" s="61"/>
      <c r="F25" s="61"/>
      <c r="G25" s="61"/>
      <c r="H25" s="61"/>
      <c r="I25" s="61"/>
      <c r="J25" s="61"/>
      <c r="K25" s="6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Y25" s="57"/>
      <c r="Z25" s="57"/>
      <c r="AA25" s="54">
        <f>SUM(AA7:AA24)</f>
        <v>2346</v>
      </c>
    </row>
    <row r="26" spans="25:27" ht="7.5" customHeight="1">
      <c r="Y26" s="57"/>
      <c r="Z26" s="57"/>
      <c r="AA26" s="54"/>
    </row>
    <row r="27" spans="3:27" ht="15.75">
      <c r="C27" s="99" t="s">
        <v>88</v>
      </c>
      <c r="D27" s="99"/>
      <c r="E27" s="99"/>
      <c r="F27" s="99"/>
      <c r="H27" s="64" t="s">
        <v>53</v>
      </c>
      <c r="I27" s="76" t="s">
        <v>62</v>
      </c>
      <c r="J27" s="76" t="s">
        <v>2</v>
      </c>
      <c r="K27" s="76" t="s">
        <v>3</v>
      </c>
      <c r="L27" s="76"/>
      <c r="M27" s="97" t="s">
        <v>77</v>
      </c>
      <c r="N27" s="97"/>
      <c r="P27" s="97" t="s">
        <v>78</v>
      </c>
      <c r="Q27" s="97"/>
      <c r="R27" s="97"/>
      <c r="S27" s="97"/>
      <c r="T27" s="97"/>
      <c r="Y27" s="57"/>
      <c r="Z27" s="57"/>
      <c r="AA27" s="54"/>
    </row>
    <row r="28" spans="8:9" ht="6" customHeight="1">
      <c r="H28" s="65"/>
      <c r="I28" s="66"/>
    </row>
    <row r="29" spans="3:20" ht="15.75">
      <c r="C29" s="98" t="s">
        <v>63</v>
      </c>
      <c r="D29" s="98"/>
      <c r="E29" s="93">
        <f>+SUM(H7:H24)</f>
        <v>2395.0999999999995</v>
      </c>
      <c r="F29" s="93"/>
      <c r="H29" s="69">
        <v>2012</v>
      </c>
      <c r="I29" s="70">
        <v>128</v>
      </c>
      <c r="J29" s="68">
        <f>SUM(C7:C24)</f>
        <v>485</v>
      </c>
      <c r="K29" s="71">
        <f>+SUM(H7:H24)</f>
        <v>2395.0999999999995</v>
      </c>
      <c r="L29" s="71"/>
      <c r="M29" s="69" t="s">
        <v>61</v>
      </c>
      <c r="N29" s="71">
        <f>ROUND(E33*0.25,0)</f>
        <v>591</v>
      </c>
      <c r="O29" s="71"/>
      <c r="P29" s="69" t="s">
        <v>67</v>
      </c>
      <c r="Q29" s="70">
        <f>+ROUND(($E$33-N29)*0.29,0)</f>
        <v>514</v>
      </c>
      <c r="S29" s="69" t="s">
        <v>72</v>
      </c>
      <c r="T29" s="70">
        <f>+ROUND(($E$33-N29)*0.07,0)</f>
        <v>124</v>
      </c>
    </row>
    <row r="30" spans="3:20" ht="15.75">
      <c r="C30" s="98" t="s">
        <v>12</v>
      </c>
      <c r="D30" s="98"/>
      <c r="E30" s="93">
        <f>+SUM(I7:I24)</f>
        <v>688.7499999999999</v>
      </c>
      <c r="F30" s="93"/>
      <c r="H30" s="69">
        <v>2013</v>
      </c>
      <c r="I30" s="70">
        <v>140</v>
      </c>
      <c r="J30" s="68">
        <f>SUM(M7:M24)</f>
        <v>276</v>
      </c>
      <c r="K30" s="71">
        <f>SUM(N7:N24)</f>
        <v>1522.8999999999999</v>
      </c>
      <c r="L30" s="71"/>
      <c r="M30" s="69" t="s">
        <v>67</v>
      </c>
      <c r="N30" s="71">
        <f>ROUND(0.5*N29,0)</f>
        <v>296</v>
      </c>
      <c r="O30" s="71"/>
      <c r="P30" s="69" t="s">
        <v>68</v>
      </c>
      <c r="Q30" s="70">
        <f>+ROUND(($E$33-N29)*0.18,0)</f>
        <v>319</v>
      </c>
      <c r="S30" s="69" t="s">
        <v>73</v>
      </c>
      <c r="T30" s="70">
        <f>+ROUND(($E$33-N29)*0.05,0)</f>
        <v>89</v>
      </c>
    </row>
    <row r="31" spans="3:20" ht="15.75">
      <c r="C31" s="98" t="s">
        <v>60</v>
      </c>
      <c r="D31" s="98"/>
      <c r="E31" s="93">
        <f>+SUM(J7:J24)</f>
        <v>120.85000000000001</v>
      </c>
      <c r="F31" s="93"/>
      <c r="H31" s="69">
        <v>2014</v>
      </c>
      <c r="I31" s="70">
        <v>154</v>
      </c>
      <c r="J31" s="68">
        <f>SUM(P7:P24)</f>
        <v>204</v>
      </c>
      <c r="K31" s="71">
        <f>SUM(Q7:Q24)</f>
        <v>1123</v>
      </c>
      <c r="L31" s="71"/>
      <c r="M31" s="69" t="s">
        <v>68</v>
      </c>
      <c r="N31" s="71">
        <f>ROUND(0.35*N29,0)</f>
        <v>207</v>
      </c>
      <c r="O31" s="71"/>
      <c r="P31" s="69" t="s">
        <v>69</v>
      </c>
      <c r="Q31" s="70">
        <f>+ROUND(($E$33-N29)*0.14,0)</f>
        <v>248</v>
      </c>
      <c r="S31" s="69" t="s">
        <v>74</v>
      </c>
      <c r="T31" s="70">
        <f>+ROUND(($E$33-N29)*0.04,0)</f>
        <v>71</v>
      </c>
    </row>
    <row r="32" spans="1:20" ht="15.75">
      <c r="A32" s="72"/>
      <c r="C32" s="98" t="s">
        <v>64</v>
      </c>
      <c r="D32" s="98"/>
      <c r="E32" s="93">
        <f>+SUM(K7:K24)</f>
        <v>3204.7000000000007</v>
      </c>
      <c r="F32" s="93"/>
      <c r="H32" s="69">
        <v>2015</v>
      </c>
      <c r="I32" s="70">
        <v>170</v>
      </c>
      <c r="J32" s="68">
        <f>SUM(S7:S24)</f>
        <v>114</v>
      </c>
      <c r="K32" s="71">
        <f>SUM(T7:T24)</f>
        <v>646.8000000000001</v>
      </c>
      <c r="L32" s="71"/>
      <c r="M32" s="69" t="s">
        <v>69</v>
      </c>
      <c r="N32" s="71">
        <f>N29-N30-N31</f>
        <v>88</v>
      </c>
      <c r="O32" s="71"/>
      <c r="P32" s="69" t="s">
        <v>70</v>
      </c>
      <c r="Q32" s="70">
        <f>+ROUND(($E$33-N29)*0.11,0)</f>
        <v>195</v>
      </c>
      <c r="S32" s="69" t="s">
        <v>75</v>
      </c>
      <c r="T32" s="70">
        <f>+ROUND(($E$33-N29)*0.02,0)</f>
        <v>35</v>
      </c>
    </row>
    <row r="33" spans="3:20" ht="15.75">
      <c r="C33" s="98" t="s">
        <v>65</v>
      </c>
      <c r="D33" s="98"/>
      <c r="E33" s="94">
        <f>FLOOR(SUMIF(K7:K24,"&lt;=128",K7:K24)+117*COUNTIF(K7:K24,"&gt;128"),1)+646.9-45-121.7-99.6-115.6</f>
        <v>2364.0000000000005</v>
      </c>
      <c r="F33" s="94"/>
      <c r="H33" s="69">
        <v>2016</v>
      </c>
      <c r="I33" s="70">
        <v>187</v>
      </c>
      <c r="J33" s="68">
        <f>SUM(V7:V24)</f>
        <v>56</v>
      </c>
      <c r="K33" s="71">
        <f>SUM(W7:W24)</f>
        <v>321.50000000000006</v>
      </c>
      <c r="L33" s="71"/>
      <c r="M33" s="69"/>
      <c r="N33" s="71"/>
      <c r="O33" s="71"/>
      <c r="P33" s="69" t="s">
        <v>71</v>
      </c>
      <c r="Q33" s="70">
        <f>+ROUND(($E$33-N29)*0.09,0)</f>
        <v>160</v>
      </c>
      <c r="S33" s="69" t="s">
        <v>76</v>
      </c>
      <c r="T33" s="70">
        <f>(E33-N29)-SUM(Q29:Q33)-SUM(T29:T32)</f>
        <v>18.000000000000455</v>
      </c>
    </row>
    <row r="34" spans="1:6" ht="15.75">
      <c r="A34" s="72"/>
      <c r="C34" s="98" t="s">
        <v>66</v>
      </c>
      <c r="D34" s="98"/>
      <c r="E34" s="94">
        <v>1068.1</v>
      </c>
      <c r="F34" s="94"/>
    </row>
    <row r="35" spans="1:6" ht="16.5" thickBot="1">
      <c r="A35" s="72"/>
      <c r="C35" s="77"/>
      <c r="D35" s="77"/>
      <c r="E35" s="75"/>
      <c r="F35" s="75"/>
    </row>
    <row r="36" spans="1:23" ht="12.75">
      <c r="A36" s="73"/>
      <c r="B36" s="95"/>
      <c r="C36" s="95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3:11" ht="12.75">
      <c r="C37" s="67"/>
      <c r="D37" s="92"/>
      <c r="E37" s="92"/>
      <c r="F37" s="92"/>
      <c r="H37" s="67"/>
      <c r="I37" s="92"/>
      <c r="J37" s="92"/>
      <c r="K37" s="92"/>
    </row>
    <row r="38" spans="3:11" ht="12.75">
      <c r="C38" s="67"/>
      <c r="D38" s="92"/>
      <c r="E38" s="92"/>
      <c r="F38" s="92"/>
      <c r="H38" s="67"/>
      <c r="I38" s="92"/>
      <c r="J38" s="92"/>
      <c r="K38" s="92"/>
    </row>
    <row r="39" spans="3:11" ht="12.75">
      <c r="C39" s="67"/>
      <c r="D39" s="92"/>
      <c r="E39" s="92"/>
      <c r="F39" s="92"/>
      <c r="H39" s="67"/>
      <c r="I39" s="92"/>
      <c r="J39" s="92"/>
      <c r="K39" s="92"/>
    </row>
    <row r="40" spans="3:6" ht="12.75">
      <c r="C40" s="67"/>
      <c r="D40" s="92"/>
      <c r="E40" s="92"/>
      <c r="F40" s="92"/>
    </row>
    <row r="41" spans="3:6" ht="12.75">
      <c r="C41" s="67"/>
      <c r="D41" s="92"/>
      <c r="E41" s="92"/>
      <c r="F41" s="92"/>
    </row>
    <row r="42" spans="3:6" ht="12.75">
      <c r="C42" s="67"/>
      <c r="D42" s="92"/>
      <c r="E42" s="92"/>
      <c r="F42" s="92"/>
    </row>
    <row r="43" spans="3:6" ht="12.75">
      <c r="C43" s="67"/>
      <c r="D43" s="92"/>
      <c r="E43" s="92"/>
      <c r="F43" s="92"/>
    </row>
    <row r="44" spans="3:6" ht="12.75">
      <c r="C44" s="67"/>
      <c r="D44" s="92"/>
      <c r="E44" s="92"/>
      <c r="F44" s="92"/>
    </row>
    <row r="45" spans="3:6" ht="12.75">
      <c r="C45" s="67"/>
      <c r="D45" s="92"/>
      <c r="E45" s="92"/>
      <c r="F45" s="92"/>
    </row>
    <row r="46" spans="3:6" ht="12.75">
      <c r="C46" s="67"/>
      <c r="D46" s="92"/>
      <c r="E46" s="92"/>
      <c r="F46" s="92"/>
    </row>
    <row r="47" spans="3:6" ht="12.75">
      <c r="C47" s="67"/>
      <c r="D47" s="92"/>
      <c r="E47" s="92"/>
      <c r="F47" s="92"/>
    </row>
    <row r="48" spans="3:6" ht="12.75">
      <c r="C48" s="67"/>
      <c r="D48" s="92"/>
      <c r="E48" s="92"/>
      <c r="F48" s="92"/>
    </row>
    <row r="49" spans="3:6" ht="12.75">
      <c r="C49" s="67"/>
      <c r="D49" s="92"/>
      <c r="E49" s="92"/>
      <c r="F49" s="92"/>
    </row>
    <row r="50" spans="3:6" ht="12.75">
      <c r="C50" s="67"/>
      <c r="D50" s="92"/>
      <c r="E50" s="92"/>
      <c r="F50" s="92"/>
    </row>
    <row r="51" spans="3:6" ht="12.75">
      <c r="C51" s="67"/>
      <c r="D51" s="92"/>
      <c r="E51" s="92"/>
      <c r="F51" s="92"/>
    </row>
    <row r="52" spans="3:6" ht="12.75">
      <c r="C52" s="67"/>
      <c r="D52" s="92"/>
      <c r="E52" s="92"/>
      <c r="F52" s="92"/>
    </row>
    <row r="53" spans="3:6" ht="12.75">
      <c r="C53" s="67"/>
      <c r="D53" s="92"/>
      <c r="E53" s="92"/>
      <c r="F53" s="92"/>
    </row>
    <row r="54" spans="3:6" ht="12.75">
      <c r="C54" s="67"/>
      <c r="D54" s="92"/>
      <c r="E54" s="92"/>
      <c r="F54" s="92"/>
    </row>
    <row r="55" spans="3:6" ht="12.75">
      <c r="C55" s="67"/>
      <c r="D55" s="92"/>
      <c r="E55" s="92"/>
      <c r="F55" s="92"/>
    </row>
    <row r="56" spans="3:6" ht="12.75">
      <c r="C56" s="67"/>
      <c r="D56" s="92"/>
      <c r="E56" s="92"/>
      <c r="F56" s="92"/>
    </row>
  </sheetData>
  <sheetProtection/>
  <mergeCells count="45">
    <mergeCell ref="C27:F27"/>
    <mergeCell ref="Q1:W1"/>
    <mergeCell ref="E31:F31"/>
    <mergeCell ref="E32:F32"/>
    <mergeCell ref="E33:F33"/>
    <mergeCell ref="C31:D31"/>
    <mergeCell ref="M27:N27"/>
    <mergeCell ref="C29:D29"/>
    <mergeCell ref="C30:D30"/>
    <mergeCell ref="E29:F29"/>
    <mergeCell ref="B36:C36"/>
    <mergeCell ref="V3:W3"/>
    <mergeCell ref="C3:K3"/>
    <mergeCell ref="M3:N3"/>
    <mergeCell ref="P3:Q3"/>
    <mergeCell ref="S3:T3"/>
    <mergeCell ref="P27:T27"/>
    <mergeCell ref="C34:D34"/>
    <mergeCell ref="C32:D32"/>
    <mergeCell ref="C33:D33"/>
    <mergeCell ref="E30:F30"/>
    <mergeCell ref="D40:F40"/>
    <mergeCell ref="D41:F41"/>
    <mergeCell ref="D42:F42"/>
    <mergeCell ref="D43:F43"/>
    <mergeCell ref="D37:F37"/>
    <mergeCell ref="D38:F38"/>
    <mergeCell ref="D39:F39"/>
    <mergeCell ref="E34:F34"/>
    <mergeCell ref="D56:F56"/>
    <mergeCell ref="I37:K37"/>
    <mergeCell ref="I38:K38"/>
    <mergeCell ref="I39:K3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6" t="s">
        <v>231</v>
      </c>
      <c r="C5" s="4" t="s">
        <v>17</v>
      </c>
      <c r="D5" s="4" t="s">
        <v>24</v>
      </c>
      <c r="E5" s="13" t="s">
        <v>49</v>
      </c>
      <c r="F5" s="14">
        <v>3.25</v>
      </c>
      <c r="G5" s="1">
        <v>2016</v>
      </c>
      <c r="I5" s="16">
        <f aca="true" t="shared" si="0" ref="I5:M14">+IF($G5&gt;=I$3,$F5,0)</f>
        <v>3.25</v>
      </c>
      <c r="J5" s="16">
        <f t="shared" si="0"/>
        <v>3.25</v>
      </c>
      <c r="K5" s="16">
        <f t="shared" si="0"/>
        <v>3.25</v>
      </c>
      <c r="L5" s="16">
        <f t="shared" si="0"/>
        <v>3.25</v>
      </c>
      <c r="M5" s="16">
        <f t="shared" si="0"/>
        <v>3.25</v>
      </c>
    </row>
    <row r="6" spans="1:13" ht="12.75">
      <c r="A6" s="8">
        <v>2</v>
      </c>
      <c r="B6" s="45" t="s">
        <v>630</v>
      </c>
      <c r="C6" s="4" t="s">
        <v>19</v>
      </c>
      <c r="D6" s="4" t="s">
        <v>57</v>
      </c>
      <c r="E6" s="13" t="s">
        <v>49</v>
      </c>
      <c r="F6" s="14">
        <v>1.6</v>
      </c>
      <c r="G6" s="1">
        <v>2016</v>
      </c>
      <c r="I6" s="16">
        <f t="shared" si="0"/>
        <v>1.6</v>
      </c>
      <c r="J6" s="16">
        <f t="shared" si="0"/>
        <v>1.6</v>
      </c>
      <c r="K6" s="16">
        <f t="shared" si="0"/>
        <v>1.6</v>
      </c>
      <c r="L6" s="16">
        <f t="shared" si="0"/>
        <v>1.6</v>
      </c>
      <c r="M6" s="16">
        <f t="shared" si="0"/>
        <v>1.6</v>
      </c>
    </row>
    <row r="7" spans="1:13" ht="12.75">
      <c r="A7" s="8">
        <v>3</v>
      </c>
      <c r="B7" s="45" t="s">
        <v>512</v>
      </c>
      <c r="C7" s="4" t="s">
        <v>41</v>
      </c>
      <c r="D7" s="4" t="s">
        <v>57</v>
      </c>
      <c r="E7" s="13" t="s">
        <v>49</v>
      </c>
      <c r="F7" s="14">
        <v>4.35</v>
      </c>
      <c r="G7" s="1">
        <v>2015</v>
      </c>
      <c r="I7" s="16">
        <f t="shared" si="0"/>
        <v>4.35</v>
      </c>
      <c r="J7" s="16">
        <f t="shared" si="0"/>
        <v>4.35</v>
      </c>
      <c r="K7" s="16">
        <f t="shared" si="0"/>
        <v>4.35</v>
      </c>
      <c r="L7" s="16">
        <f t="shared" si="0"/>
        <v>4.35</v>
      </c>
      <c r="M7" s="16">
        <f t="shared" si="0"/>
        <v>0</v>
      </c>
    </row>
    <row r="8" spans="1:13" ht="12.75">
      <c r="A8" s="8">
        <v>4</v>
      </c>
      <c r="B8" s="46" t="s">
        <v>510</v>
      </c>
      <c r="C8" s="4" t="s">
        <v>31</v>
      </c>
      <c r="D8" s="4" t="s">
        <v>116</v>
      </c>
      <c r="E8" s="13" t="s">
        <v>49</v>
      </c>
      <c r="F8" s="14">
        <v>4</v>
      </c>
      <c r="G8" s="2">
        <v>2015</v>
      </c>
      <c r="I8" s="16">
        <f t="shared" si="0"/>
        <v>4</v>
      </c>
      <c r="J8" s="16">
        <f t="shared" si="0"/>
        <v>4</v>
      </c>
      <c r="K8" s="16">
        <f t="shared" si="0"/>
        <v>4</v>
      </c>
      <c r="L8" s="16">
        <f t="shared" si="0"/>
        <v>4</v>
      </c>
      <c r="M8" s="16">
        <f t="shared" si="0"/>
        <v>0</v>
      </c>
    </row>
    <row r="9" spans="1:13" ht="12.75">
      <c r="A9" s="8">
        <v>5</v>
      </c>
      <c r="B9" s="46" t="s">
        <v>511</v>
      </c>
      <c r="C9" s="4" t="s">
        <v>17</v>
      </c>
      <c r="D9" s="4" t="s">
        <v>47</v>
      </c>
      <c r="E9" s="13" t="s">
        <v>49</v>
      </c>
      <c r="F9" s="14">
        <v>1.2</v>
      </c>
      <c r="G9" s="1">
        <v>2015</v>
      </c>
      <c r="I9" s="16">
        <f t="shared" si="0"/>
        <v>1.2</v>
      </c>
      <c r="J9" s="16">
        <f t="shared" si="0"/>
        <v>1.2</v>
      </c>
      <c r="K9" s="16">
        <f t="shared" si="0"/>
        <v>1.2</v>
      </c>
      <c r="L9" s="16">
        <f t="shared" si="0"/>
        <v>1.2</v>
      </c>
      <c r="M9" s="16">
        <f t="shared" si="0"/>
        <v>0</v>
      </c>
    </row>
    <row r="10" spans="1:13" ht="12.75">
      <c r="A10" s="8">
        <v>6</v>
      </c>
      <c r="B10" s="46" t="s">
        <v>612</v>
      </c>
      <c r="C10" s="4" t="s">
        <v>17</v>
      </c>
      <c r="D10" s="47" t="s">
        <v>681</v>
      </c>
      <c r="E10" s="13" t="s">
        <v>49</v>
      </c>
      <c r="F10" s="14">
        <v>5.4</v>
      </c>
      <c r="G10" s="1">
        <v>2014</v>
      </c>
      <c r="I10" s="16">
        <f t="shared" si="0"/>
        <v>5.4</v>
      </c>
      <c r="J10" s="16">
        <f t="shared" si="0"/>
        <v>5.4</v>
      </c>
      <c r="K10" s="16">
        <f t="shared" si="0"/>
        <v>5.4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6" t="s">
        <v>641</v>
      </c>
      <c r="C11" s="4" t="s">
        <v>19</v>
      </c>
      <c r="D11" s="47" t="s">
        <v>39</v>
      </c>
      <c r="E11" s="13" t="s">
        <v>49</v>
      </c>
      <c r="F11" s="14">
        <v>4.75</v>
      </c>
      <c r="G11" s="2">
        <v>2014</v>
      </c>
      <c r="I11" s="16">
        <f t="shared" si="0"/>
        <v>4.75</v>
      </c>
      <c r="J11" s="16">
        <f t="shared" si="0"/>
        <v>4.75</v>
      </c>
      <c r="K11" s="16">
        <f t="shared" si="0"/>
        <v>4.75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5" t="s">
        <v>680</v>
      </c>
      <c r="C12" s="4" t="s">
        <v>17</v>
      </c>
      <c r="D12" s="47" t="s">
        <v>40</v>
      </c>
      <c r="E12" s="13" t="s">
        <v>49</v>
      </c>
      <c r="F12" s="9">
        <v>3.35</v>
      </c>
      <c r="G12" s="10">
        <v>2014</v>
      </c>
      <c r="I12" s="16">
        <f t="shared" si="0"/>
        <v>3.35</v>
      </c>
      <c r="J12" s="16">
        <f t="shared" si="0"/>
        <v>3.35</v>
      </c>
      <c r="K12" s="16">
        <f t="shared" si="0"/>
        <v>3.35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403</v>
      </c>
      <c r="C13" s="4" t="s">
        <v>17</v>
      </c>
      <c r="D13" s="4" t="s">
        <v>27</v>
      </c>
      <c r="E13" s="13" t="s">
        <v>49</v>
      </c>
      <c r="F13" s="14">
        <v>2.2</v>
      </c>
      <c r="G13" s="1">
        <v>2014</v>
      </c>
      <c r="I13" s="16">
        <f t="shared" si="0"/>
        <v>2.2</v>
      </c>
      <c r="J13" s="16">
        <f t="shared" si="0"/>
        <v>2.2</v>
      </c>
      <c r="K13" s="16">
        <f t="shared" si="0"/>
        <v>2.2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6" t="s">
        <v>566</v>
      </c>
      <c r="C14" s="4" t="s">
        <v>26</v>
      </c>
      <c r="D14" s="47" t="s">
        <v>57</v>
      </c>
      <c r="E14" s="13" t="s">
        <v>49</v>
      </c>
      <c r="F14" s="14">
        <v>1.9</v>
      </c>
      <c r="G14" s="1">
        <v>2014</v>
      </c>
      <c r="I14" s="16">
        <f t="shared" si="0"/>
        <v>1.9</v>
      </c>
      <c r="J14" s="16">
        <f t="shared" si="0"/>
        <v>1.9</v>
      </c>
      <c r="K14" s="16">
        <f t="shared" si="0"/>
        <v>1.9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6" t="s">
        <v>636</v>
      </c>
      <c r="C15" s="4" t="s">
        <v>26</v>
      </c>
      <c r="D15" s="4" t="s">
        <v>56</v>
      </c>
      <c r="E15" s="13" t="s">
        <v>49</v>
      </c>
      <c r="F15" s="14">
        <v>1.8</v>
      </c>
      <c r="G15" s="1">
        <v>2014</v>
      </c>
      <c r="I15" s="16">
        <f aca="true" t="shared" si="1" ref="I15:M24">+IF($G15&gt;=I$3,$F15,0)</f>
        <v>1.8</v>
      </c>
      <c r="J15" s="16">
        <f t="shared" si="1"/>
        <v>1.8</v>
      </c>
      <c r="K15" s="16">
        <f t="shared" si="1"/>
        <v>1.8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6" t="s">
        <v>673</v>
      </c>
      <c r="C16" s="4" t="s">
        <v>17</v>
      </c>
      <c r="D16" s="4" t="s">
        <v>32</v>
      </c>
      <c r="E16" s="13" t="s">
        <v>49</v>
      </c>
      <c r="F16" s="14">
        <v>1.45</v>
      </c>
      <c r="G16" s="1">
        <v>2014</v>
      </c>
      <c r="I16" s="16">
        <f t="shared" si="1"/>
        <v>1.45</v>
      </c>
      <c r="J16" s="16">
        <f t="shared" si="1"/>
        <v>1.45</v>
      </c>
      <c r="K16" s="16">
        <f t="shared" si="1"/>
        <v>1.45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6" t="s">
        <v>581</v>
      </c>
      <c r="C17" s="4" t="s">
        <v>38</v>
      </c>
      <c r="D17" s="4" t="s">
        <v>40</v>
      </c>
      <c r="E17" s="13" t="s">
        <v>49</v>
      </c>
      <c r="F17" s="14">
        <v>6.95</v>
      </c>
      <c r="G17" s="1">
        <v>2013</v>
      </c>
      <c r="I17" s="16">
        <f>+IF($G17&gt;=I$3,$F17,0)</f>
        <v>6.95</v>
      </c>
      <c r="J17" s="16">
        <f>+IF($G17&gt;=J$3,$F17,0)</f>
        <v>6.95</v>
      </c>
      <c r="K17" s="16">
        <f>+IF($G17&gt;=K$3,$F17,0)</f>
        <v>0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46" t="s">
        <v>567</v>
      </c>
      <c r="C18" s="4" t="s">
        <v>38</v>
      </c>
      <c r="D18" s="47" t="s">
        <v>28</v>
      </c>
      <c r="E18" s="13" t="s">
        <v>49</v>
      </c>
      <c r="F18" s="14">
        <v>6.7</v>
      </c>
      <c r="G18" s="1">
        <v>2013</v>
      </c>
      <c r="I18" s="16">
        <f t="shared" si="1"/>
        <v>6.7</v>
      </c>
      <c r="J18" s="16">
        <f t="shared" si="1"/>
        <v>6.7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6" t="s">
        <v>457</v>
      </c>
      <c r="C19" s="47" t="s">
        <v>41</v>
      </c>
      <c r="D19" s="47" t="s">
        <v>40</v>
      </c>
      <c r="E19" s="13" t="s">
        <v>49</v>
      </c>
      <c r="F19" s="14">
        <v>4.7</v>
      </c>
      <c r="G19" s="1">
        <v>2013</v>
      </c>
      <c r="I19" s="16">
        <f t="shared" si="1"/>
        <v>4.7</v>
      </c>
      <c r="J19" s="16">
        <f t="shared" si="1"/>
        <v>4.7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633</v>
      </c>
      <c r="C20" s="4" t="s">
        <v>38</v>
      </c>
      <c r="D20" s="47" t="s">
        <v>27</v>
      </c>
      <c r="E20" s="13" t="s">
        <v>49</v>
      </c>
      <c r="F20" s="14">
        <v>4.2</v>
      </c>
      <c r="G20" s="1">
        <v>2013</v>
      </c>
      <c r="I20" s="16">
        <f t="shared" si="1"/>
        <v>4.2</v>
      </c>
      <c r="J20" s="16">
        <f t="shared" si="1"/>
        <v>4.2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6" t="s">
        <v>613</v>
      </c>
      <c r="C21" s="4" t="s">
        <v>38</v>
      </c>
      <c r="D21" s="4" t="s">
        <v>93</v>
      </c>
      <c r="E21" s="13" t="s">
        <v>49</v>
      </c>
      <c r="F21" s="14">
        <v>3.7</v>
      </c>
      <c r="G21" s="1">
        <v>2013</v>
      </c>
      <c r="I21" s="16">
        <f t="shared" si="1"/>
        <v>3.7</v>
      </c>
      <c r="J21" s="16">
        <f t="shared" si="1"/>
        <v>3.7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6" t="s">
        <v>436</v>
      </c>
      <c r="C22" s="4" t="s">
        <v>31</v>
      </c>
      <c r="D22" s="47" t="s">
        <v>44</v>
      </c>
      <c r="E22" s="13" t="s">
        <v>49</v>
      </c>
      <c r="F22" s="14">
        <v>3.25</v>
      </c>
      <c r="G22" s="1">
        <v>2013</v>
      </c>
      <c r="I22" s="16">
        <f t="shared" si="1"/>
        <v>3.25</v>
      </c>
      <c r="J22" s="16">
        <f t="shared" si="1"/>
        <v>3.25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6" t="s">
        <v>375</v>
      </c>
      <c r="C23" s="4" t="s">
        <v>38</v>
      </c>
      <c r="D23" s="47" t="s">
        <v>56</v>
      </c>
      <c r="E23" s="13" t="s">
        <v>49</v>
      </c>
      <c r="F23" s="14">
        <v>2.95</v>
      </c>
      <c r="G23" s="1">
        <v>2013</v>
      </c>
      <c r="I23" s="16">
        <f t="shared" si="1"/>
        <v>2.95</v>
      </c>
      <c r="J23" s="16">
        <f t="shared" si="1"/>
        <v>2.95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6" t="s">
        <v>565</v>
      </c>
      <c r="C24" s="4" t="s">
        <v>17</v>
      </c>
      <c r="D24" s="47" t="s">
        <v>33</v>
      </c>
      <c r="E24" s="13" t="s">
        <v>49</v>
      </c>
      <c r="F24" s="14">
        <v>17.15</v>
      </c>
      <c r="G24" s="1">
        <v>2012</v>
      </c>
      <c r="I24" s="16">
        <f t="shared" si="1"/>
        <v>17.15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119</v>
      </c>
      <c r="C25" s="4" t="s">
        <v>26</v>
      </c>
      <c r="D25" s="4" t="s">
        <v>44</v>
      </c>
      <c r="E25" s="13" t="s">
        <v>49</v>
      </c>
      <c r="F25" s="14">
        <v>13.7</v>
      </c>
      <c r="G25" s="1">
        <v>2012</v>
      </c>
      <c r="I25" s="16">
        <f aca="true" t="shared" si="2" ref="I25:M32">+IF($G25&gt;=I$3,$F25,0)</f>
        <v>13.7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129</v>
      </c>
      <c r="C26" s="4" t="s">
        <v>26</v>
      </c>
      <c r="D26" s="4" t="s">
        <v>45</v>
      </c>
      <c r="E26" s="13" t="s">
        <v>49</v>
      </c>
      <c r="F26" s="14">
        <v>7.65</v>
      </c>
      <c r="G26" s="1">
        <v>2012</v>
      </c>
      <c r="I26" s="16">
        <f t="shared" si="2"/>
        <v>7.65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201</v>
      </c>
      <c r="C27" s="4" t="s">
        <v>19</v>
      </c>
      <c r="D27" s="47" t="s">
        <v>50</v>
      </c>
      <c r="E27" s="4" t="s">
        <v>49</v>
      </c>
      <c r="F27" s="18">
        <v>4.6</v>
      </c>
      <c r="G27" s="4">
        <v>2012</v>
      </c>
      <c r="I27" s="16">
        <f t="shared" si="2"/>
        <v>4.6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251</v>
      </c>
      <c r="C28" s="47" t="s">
        <v>38</v>
      </c>
      <c r="D28" s="4" t="s">
        <v>27</v>
      </c>
      <c r="E28" s="4" t="s">
        <v>49</v>
      </c>
      <c r="F28" s="18">
        <v>4.25</v>
      </c>
      <c r="G28" s="4">
        <v>2012</v>
      </c>
      <c r="I28" s="16">
        <f t="shared" si="2"/>
        <v>4.25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361</v>
      </c>
      <c r="C29" s="4" t="s">
        <v>18</v>
      </c>
      <c r="D29" s="4" t="s">
        <v>22</v>
      </c>
      <c r="E29" s="13" t="s">
        <v>49</v>
      </c>
      <c r="F29" s="14">
        <v>3.95</v>
      </c>
      <c r="G29" s="1">
        <v>2012</v>
      </c>
      <c r="I29" s="16">
        <f t="shared" si="2"/>
        <v>3.95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363</v>
      </c>
      <c r="C30" s="4" t="s">
        <v>15</v>
      </c>
      <c r="D30" s="47" t="s">
        <v>46</v>
      </c>
      <c r="E30" s="13" t="s">
        <v>49</v>
      </c>
      <c r="F30" s="14">
        <v>3.4</v>
      </c>
      <c r="G30" s="1">
        <v>2012</v>
      </c>
      <c r="I30" s="16">
        <f t="shared" si="2"/>
        <v>3.4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241</v>
      </c>
      <c r="C31" s="4" t="s">
        <v>17</v>
      </c>
      <c r="D31" s="4" t="s">
        <v>23</v>
      </c>
      <c r="E31" s="13" t="s">
        <v>49</v>
      </c>
      <c r="F31" s="14">
        <v>1</v>
      </c>
      <c r="G31" s="1">
        <v>2012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249</v>
      </c>
      <c r="C32" s="4" t="s">
        <v>18</v>
      </c>
      <c r="D32" s="4" t="s">
        <v>23</v>
      </c>
      <c r="E32" s="13" t="s">
        <v>49</v>
      </c>
      <c r="F32" s="14">
        <v>1</v>
      </c>
      <c r="G32" s="1">
        <v>2012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124.40000000000003</v>
      </c>
      <c r="J34" s="17">
        <f>+SUM(J5:J32)</f>
        <v>67.70000000000002</v>
      </c>
      <c r="K34" s="17">
        <f>+SUM(K5:K32)</f>
        <v>35.25</v>
      </c>
      <c r="L34" s="17">
        <f>+SUM(L5:L32)</f>
        <v>14.399999999999999</v>
      </c>
      <c r="M34" s="17">
        <f>+SUM(M5:M32)</f>
        <v>4.85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335</v>
      </c>
      <c r="C40" s="4" t="s">
        <v>17</v>
      </c>
      <c r="D40" s="4" t="s">
        <v>40</v>
      </c>
      <c r="E40" s="23" t="s">
        <v>81</v>
      </c>
      <c r="F40" s="18">
        <v>2.85</v>
      </c>
      <c r="G40" s="4">
        <v>2014</v>
      </c>
      <c r="I40" s="16">
        <f aca="true" t="shared" si="3" ref="I40:I45">+CEILING(IF($I$38&lt;=G40,F40*0.3,0),0.05)</f>
        <v>0.9</v>
      </c>
      <c r="J40" s="16">
        <f aca="true" t="shared" si="4" ref="J40:J45">+CEILING(IF($J$38&lt;=G40,F40*0.3,0),0.05)</f>
        <v>0.9</v>
      </c>
      <c r="K40" s="16">
        <f aca="true" t="shared" si="5" ref="K40:K45">+CEILING(IF($K$38&lt;=G40,F40*0.3,0),0.05)</f>
        <v>0.9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45" t="s">
        <v>638</v>
      </c>
      <c r="C41" s="4" t="s">
        <v>17</v>
      </c>
      <c r="D41" s="4" t="s">
        <v>37</v>
      </c>
      <c r="E41" s="13" t="s">
        <v>81</v>
      </c>
      <c r="F41" s="14">
        <v>6.1</v>
      </c>
      <c r="G41" s="1">
        <v>2016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1.85</v>
      </c>
    </row>
    <row r="42" spans="1:13" ht="12.75">
      <c r="A42" s="8">
        <v>3</v>
      </c>
      <c r="B42" s="4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4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27" t="s">
        <v>391</v>
      </c>
      <c r="C46" s="22" t="s">
        <v>100</v>
      </c>
      <c r="D46" s="22" t="s">
        <v>100</v>
      </c>
      <c r="E46" s="22" t="s">
        <v>100</v>
      </c>
      <c r="F46" s="9">
        <v>1.3</v>
      </c>
      <c r="G46" s="10">
        <v>2012</v>
      </c>
      <c r="I46" s="16">
        <f>+CEILING(IF($I$38&lt;=G46,F46*0.3,0),0.05)</f>
        <v>0.4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3.15</v>
      </c>
      <c r="J48" s="12">
        <f>+SUM(J40:J47)</f>
        <v>2.75</v>
      </c>
      <c r="K48" s="12">
        <f>+SUM(K40:K47)</f>
        <v>2.75</v>
      </c>
      <c r="L48" s="12">
        <f>+SUM(L40:L47)</f>
        <v>1.85</v>
      </c>
      <c r="M48" s="12">
        <f>+SUM(M40:M47)</f>
        <v>1.85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219</v>
      </c>
      <c r="C54" s="4" t="s">
        <v>19</v>
      </c>
      <c r="D54" s="4" t="s">
        <v>20</v>
      </c>
      <c r="E54" s="13">
        <v>2011</v>
      </c>
      <c r="F54" s="14">
        <v>14.65</v>
      </c>
      <c r="G54" s="1">
        <v>2013</v>
      </c>
      <c r="I54" s="16">
        <f>+CEILING(IF($I$52=E54,F54,IF($I$52&lt;=G54,F54*0.3,0)),0.05)</f>
        <v>4.4</v>
      </c>
      <c r="J54" s="16">
        <f>+CEILING(IF($J$52&lt;=G54,F54*0.3,0),0.05)</f>
        <v>4.4</v>
      </c>
      <c r="K54" s="16">
        <f>+CEILING(IF($K$52&lt;=G54,F54*0.3,0),0.05)</f>
        <v>0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46" t="s">
        <v>454</v>
      </c>
      <c r="C55" s="4" t="s">
        <v>38</v>
      </c>
      <c r="D55" s="47" t="s">
        <v>34</v>
      </c>
      <c r="E55" s="13">
        <v>2011</v>
      </c>
      <c r="F55" s="14">
        <v>1.85</v>
      </c>
      <c r="G55" s="1">
        <v>2013</v>
      </c>
      <c r="I55" s="16">
        <f aca="true" t="shared" si="8" ref="I55:I63">+CEILING(IF($I$52=E55,F55,IF($I$52&lt;=G55,F55*0.3,0)),0.05)</f>
        <v>0.6000000000000001</v>
      </c>
      <c r="J55" s="16">
        <f aca="true" t="shared" si="9" ref="J55:J63">+CEILING(IF($J$52&lt;=G55,F55*0.3,0),0.05)</f>
        <v>0.6000000000000001</v>
      </c>
      <c r="K55" s="16">
        <f aca="true" t="shared" si="10" ref="K55:K63">+CEILING(IF($K$52&lt;=G55,F55*0.3,0),0.05)</f>
        <v>0</v>
      </c>
      <c r="L55" s="16">
        <f aca="true" t="shared" si="11" ref="L55:L63">+CEILING(IF($L$52&lt;=G55,F55*0.3,0),0.05)</f>
        <v>0</v>
      </c>
      <c r="M55" s="16">
        <f aca="true" t="shared" si="12" ref="M55:M63">CEILING(IF($M$52&lt;=G55,F55*0.3,0),0.05)</f>
        <v>0</v>
      </c>
    </row>
    <row r="56" spans="1:13" ht="12.75">
      <c r="A56" s="8">
        <v>3</v>
      </c>
      <c r="B56" s="21" t="s">
        <v>202</v>
      </c>
      <c r="C56" s="4" t="s">
        <v>38</v>
      </c>
      <c r="D56" s="4" t="s">
        <v>20</v>
      </c>
      <c r="E56" s="13">
        <v>2010</v>
      </c>
      <c r="F56" s="14">
        <v>3.3</v>
      </c>
      <c r="G56" s="1">
        <v>2012</v>
      </c>
      <c r="I56" s="16">
        <f t="shared" si="8"/>
        <v>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200</v>
      </c>
      <c r="C57" s="4" t="s">
        <v>19</v>
      </c>
      <c r="D57" s="47" t="s">
        <v>28</v>
      </c>
      <c r="E57" s="13">
        <v>2012</v>
      </c>
      <c r="F57" s="14">
        <v>3.3</v>
      </c>
      <c r="G57" s="1">
        <v>2012</v>
      </c>
      <c r="I57" s="16">
        <f t="shared" si="8"/>
        <v>3.3000000000000003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254</v>
      </c>
      <c r="C58" s="4" t="s">
        <v>17</v>
      </c>
      <c r="D58" s="47" t="s">
        <v>101</v>
      </c>
      <c r="E58" s="13">
        <v>2011</v>
      </c>
      <c r="F58" s="14">
        <v>1.3</v>
      </c>
      <c r="G58" s="1">
        <v>2012</v>
      </c>
      <c r="I58" s="16">
        <f t="shared" si="8"/>
        <v>0.4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6" t="s">
        <v>568</v>
      </c>
      <c r="C59" s="4" t="s">
        <v>19</v>
      </c>
      <c r="D59" s="47" t="s">
        <v>36</v>
      </c>
      <c r="E59" s="13">
        <v>2012</v>
      </c>
      <c r="F59" s="14">
        <v>1.3</v>
      </c>
      <c r="G59" s="1">
        <v>2012</v>
      </c>
      <c r="I59" s="16">
        <f>+CEILING(IF($I$52=E59,F59,IF($I$52&lt;=G59,F59*0.3,0)),0.05)</f>
        <v>1.3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7" t="s">
        <v>362</v>
      </c>
      <c r="C60" s="47" t="s">
        <v>19</v>
      </c>
      <c r="D60" s="47" t="s">
        <v>24</v>
      </c>
      <c r="E60" s="13">
        <v>2012</v>
      </c>
      <c r="F60" s="14">
        <v>1.1</v>
      </c>
      <c r="G60" s="1">
        <v>2012</v>
      </c>
      <c r="I60" s="16">
        <f>+CEILING(IF($I$52=E60,F60,IF($I$52&lt;=G60,F60*0.3,0)),0.05)</f>
        <v>1.1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 t="s">
        <v>97</v>
      </c>
      <c r="C61" s="4" t="s">
        <v>17</v>
      </c>
      <c r="D61" s="4" t="s">
        <v>47</v>
      </c>
      <c r="E61" s="13">
        <v>2012</v>
      </c>
      <c r="F61" s="14">
        <v>1</v>
      </c>
      <c r="G61" s="1">
        <v>2012</v>
      </c>
      <c r="I61" s="16">
        <f>+CEILING(IF($I$52=E61,F61,IF($I$52&lt;=G61,F61*0.3,0)),0.05)</f>
        <v>1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13.100000000000001</v>
      </c>
      <c r="J65" s="17">
        <f>+SUM(J54:J64)</f>
        <v>5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55</v>
      </c>
      <c r="C69" s="6"/>
      <c r="D69" s="6"/>
      <c r="E69" s="6"/>
      <c r="F69" s="6" t="s">
        <v>54</v>
      </c>
      <c r="G69" s="6" t="s">
        <v>53</v>
      </c>
      <c r="I69" s="7">
        <f>+I$3</f>
        <v>2012</v>
      </c>
      <c r="J69" s="7">
        <f>+J$3</f>
        <v>2013</v>
      </c>
      <c r="K69" s="7">
        <f>+K$3</f>
        <v>2014</v>
      </c>
      <c r="L69" s="7">
        <f>+L$3</f>
        <v>2015</v>
      </c>
      <c r="M69" s="7">
        <f>+M$3</f>
        <v>2016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102"/>
      <c r="C71" s="102"/>
      <c r="D71" s="102"/>
      <c r="E71" s="102"/>
      <c r="I71" s="20"/>
      <c r="J71" s="20"/>
      <c r="K71" s="20"/>
      <c r="L71" s="20"/>
      <c r="M71" s="20"/>
    </row>
    <row r="72" spans="1:13" ht="12.75">
      <c r="A72" s="8">
        <v>2</v>
      </c>
      <c r="B72" s="102"/>
      <c r="C72" s="102"/>
      <c r="D72" s="102"/>
      <c r="E72" s="102"/>
      <c r="I72" s="20"/>
      <c r="J72" s="20"/>
      <c r="K72" s="20"/>
      <c r="L72" s="20"/>
      <c r="M72" s="20"/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329</v>
      </c>
      <c r="C5" s="4" t="s">
        <v>18</v>
      </c>
      <c r="D5" s="4" t="s">
        <v>48</v>
      </c>
      <c r="E5" s="13" t="s">
        <v>49</v>
      </c>
      <c r="F5" s="18">
        <v>5.95</v>
      </c>
      <c r="G5" s="4">
        <v>2016</v>
      </c>
      <c r="I5" s="16">
        <f aca="true" t="shared" si="0" ref="I5:M14">+IF($G5&gt;=I$3,$F5,0)</f>
        <v>5.95</v>
      </c>
      <c r="J5" s="16">
        <f t="shared" si="0"/>
        <v>5.95</v>
      </c>
      <c r="K5" s="16">
        <f t="shared" si="0"/>
        <v>5.95</v>
      </c>
      <c r="L5" s="16">
        <f t="shared" si="0"/>
        <v>5.95</v>
      </c>
      <c r="M5" s="16">
        <f t="shared" si="0"/>
        <v>5.95</v>
      </c>
    </row>
    <row r="6" spans="1:13" ht="12.75">
      <c r="A6" s="8">
        <v>2</v>
      </c>
      <c r="B6" s="3" t="s">
        <v>223</v>
      </c>
      <c r="C6" s="4" t="s">
        <v>17</v>
      </c>
      <c r="D6" s="47" t="s">
        <v>30</v>
      </c>
      <c r="E6" s="13" t="s">
        <v>49</v>
      </c>
      <c r="F6" s="18">
        <v>2.05</v>
      </c>
      <c r="G6" s="4">
        <v>2016</v>
      </c>
      <c r="I6" s="16">
        <f t="shared" si="0"/>
        <v>2.05</v>
      </c>
      <c r="J6" s="16">
        <f t="shared" si="0"/>
        <v>2.05</v>
      </c>
      <c r="K6" s="16">
        <f t="shared" si="0"/>
        <v>2.05</v>
      </c>
      <c r="L6" s="16">
        <f t="shared" si="0"/>
        <v>2.05</v>
      </c>
      <c r="M6" s="16">
        <f t="shared" si="0"/>
        <v>2.05</v>
      </c>
    </row>
    <row r="7" spans="1:13" ht="12.75">
      <c r="A7" s="8">
        <v>3</v>
      </c>
      <c r="B7" s="45" t="s">
        <v>430</v>
      </c>
      <c r="C7" s="4" t="s">
        <v>41</v>
      </c>
      <c r="D7" s="4" t="s">
        <v>21</v>
      </c>
      <c r="E7" s="13" t="s">
        <v>49</v>
      </c>
      <c r="F7" s="9">
        <v>10.05</v>
      </c>
      <c r="G7" s="10">
        <v>2015</v>
      </c>
      <c r="I7" s="16">
        <f t="shared" si="0"/>
        <v>10.05</v>
      </c>
      <c r="J7" s="16">
        <f t="shared" si="0"/>
        <v>10.05</v>
      </c>
      <c r="K7" s="16">
        <f t="shared" si="0"/>
        <v>10.05</v>
      </c>
      <c r="L7" s="16">
        <f t="shared" si="0"/>
        <v>10.05</v>
      </c>
      <c r="M7" s="16">
        <f t="shared" si="0"/>
        <v>0</v>
      </c>
    </row>
    <row r="8" spans="1:13" ht="12.75">
      <c r="A8" s="8">
        <v>4</v>
      </c>
      <c r="B8" s="34" t="s">
        <v>303</v>
      </c>
      <c r="C8" s="4" t="s">
        <v>18</v>
      </c>
      <c r="D8" s="4" t="s">
        <v>43</v>
      </c>
      <c r="E8" s="13" t="s">
        <v>49</v>
      </c>
      <c r="F8" s="14">
        <v>14.05</v>
      </c>
      <c r="G8" s="1">
        <v>2014</v>
      </c>
      <c r="I8" s="16">
        <f t="shared" si="0"/>
        <v>14.05</v>
      </c>
      <c r="J8" s="16">
        <f t="shared" si="0"/>
        <v>14.05</v>
      </c>
      <c r="K8" s="16">
        <f t="shared" si="0"/>
        <v>14.05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3" t="s">
        <v>389</v>
      </c>
      <c r="C9" s="4" t="s">
        <v>15</v>
      </c>
      <c r="D9" s="4" t="s">
        <v>16</v>
      </c>
      <c r="E9" s="13" t="s">
        <v>49</v>
      </c>
      <c r="F9" s="18">
        <v>3.6</v>
      </c>
      <c r="G9" s="10">
        <v>2014</v>
      </c>
      <c r="I9" s="16">
        <f t="shared" si="0"/>
        <v>3.6</v>
      </c>
      <c r="J9" s="16">
        <f t="shared" si="0"/>
        <v>3.6</v>
      </c>
      <c r="K9" s="16">
        <f t="shared" si="0"/>
        <v>3.6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4" t="s">
        <v>677</v>
      </c>
      <c r="C10" s="4" t="s">
        <v>31</v>
      </c>
      <c r="D10" s="47" t="s">
        <v>30</v>
      </c>
      <c r="E10" s="13" t="s">
        <v>49</v>
      </c>
      <c r="F10" s="14">
        <v>2</v>
      </c>
      <c r="G10" s="1">
        <v>2014</v>
      </c>
      <c r="I10" s="16">
        <f t="shared" si="0"/>
        <v>2</v>
      </c>
      <c r="J10" s="16">
        <f t="shared" si="0"/>
        <v>2</v>
      </c>
      <c r="K10" s="16">
        <f t="shared" si="0"/>
        <v>2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4" t="s">
        <v>225</v>
      </c>
      <c r="C11" s="13" t="s">
        <v>19</v>
      </c>
      <c r="D11" s="13" t="s">
        <v>23</v>
      </c>
      <c r="E11" s="13" t="s">
        <v>49</v>
      </c>
      <c r="F11" s="14">
        <v>8.5</v>
      </c>
      <c r="G11" s="1">
        <v>2013</v>
      </c>
      <c r="I11" s="16">
        <f t="shared" si="0"/>
        <v>8.5</v>
      </c>
      <c r="J11" s="16">
        <f t="shared" si="0"/>
        <v>8.5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120</v>
      </c>
      <c r="C12" s="4" t="s">
        <v>19</v>
      </c>
      <c r="D12" s="4" t="s">
        <v>16</v>
      </c>
      <c r="E12" s="4" t="s">
        <v>49</v>
      </c>
      <c r="F12" s="18">
        <v>6.75</v>
      </c>
      <c r="G12" s="4">
        <v>2013</v>
      </c>
      <c r="I12" s="16">
        <f t="shared" si="0"/>
        <v>6.75</v>
      </c>
      <c r="J12" s="16">
        <f t="shared" si="0"/>
        <v>6.75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4" t="s">
        <v>452</v>
      </c>
      <c r="C13" s="4" t="s">
        <v>38</v>
      </c>
      <c r="D13" s="47" t="s">
        <v>93</v>
      </c>
      <c r="E13" s="13" t="s">
        <v>49</v>
      </c>
      <c r="F13" s="14">
        <v>4.95</v>
      </c>
      <c r="G13" s="1">
        <v>2013</v>
      </c>
      <c r="I13" s="16">
        <f t="shared" si="0"/>
        <v>4.95</v>
      </c>
      <c r="J13" s="16">
        <f t="shared" si="0"/>
        <v>4.95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4" t="s">
        <v>252</v>
      </c>
      <c r="C14" s="4" t="s">
        <v>38</v>
      </c>
      <c r="D14" s="4" t="s">
        <v>16</v>
      </c>
      <c r="E14" s="13" t="s">
        <v>49</v>
      </c>
      <c r="F14" s="14">
        <v>3.5</v>
      </c>
      <c r="G14" s="2">
        <v>2013</v>
      </c>
      <c r="I14" s="16">
        <f t="shared" si="0"/>
        <v>3.5</v>
      </c>
      <c r="J14" s="16">
        <f t="shared" si="0"/>
        <v>3.5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4" t="s">
        <v>270</v>
      </c>
      <c r="C15" s="4" t="s">
        <v>19</v>
      </c>
      <c r="D15" s="4" t="s">
        <v>40</v>
      </c>
      <c r="E15" s="13" t="s">
        <v>49</v>
      </c>
      <c r="F15" s="16">
        <v>3.2</v>
      </c>
      <c r="G15" s="13">
        <v>2013</v>
      </c>
      <c r="I15" s="16">
        <f aca="true" t="shared" si="1" ref="I15:M24">+IF($G15&gt;=I$3,$F15,0)</f>
        <v>3.2</v>
      </c>
      <c r="J15" s="16">
        <f t="shared" si="1"/>
        <v>3.2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126</v>
      </c>
      <c r="C16" s="4" t="s">
        <v>26</v>
      </c>
      <c r="D16" s="4" t="s">
        <v>32</v>
      </c>
      <c r="E16" s="13" t="s">
        <v>49</v>
      </c>
      <c r="F16" s="14">
        <v>15.4</v>
      </c>
      <c r="G16" s="1">
        <v>2012</v>
      </c>
      <c r="I16" s="16">
        <f t="shared" si="1"/>
        <v>15.4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315</v>
      </c>
      <c r="C17" s="4" t="s">
        <v>17</v>
      </c>
      <c r="D17" s="4" t="s">
        <v>93</v>
      </c>
      <c r="E17" s="13" t="s">
        <v>49</v>
      </c>
      <c r="F17" s="14">
        <v>14.45</v>
      </c>
      <c r="G17" s="1">
        <v>2012</v>
      </c>
      <c r="I17" s="16">
        <f t="shared" si="1"/>
        <v>14.45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327</v>
      </c>
      <c r="C18" s="4" t="s">
        <v>17</v>
      </c>
      <c r="D18" s="4" t="s">
        <v>57</v>
      </c>
      <c r="E18" s="13" t="s">
        <v>49</v>
      </c>
      <c r="F18" s="14">
        <v>6.6</v>
      </c>
      <c r="G18" s="1">
        <v>2012</v>
      </c>
      <c r="I18" s="16">
        <f t="shared" si="1"/>
        <v>6.6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666</v>
      </c>
      <c r="C19" s="4" t="s">
        <v>19</v>
      </c>
      <c r="D19" s="4" t="s">
        <v>47</v>
      </c>
      <c r="E19" s="13" t="s">
        <v>49</v>
      </c>
      <c r="F19" s="14">
        <v>3.95</v>
      </c>
      <c r="G19" s="1">
        <v>2012</v>
      </c>
      <c r="I19" s="16">
        <f t="shared" si="1"/>
        <v>3.95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132</v>
      </c>
      <c r="C20" s="4" t="s">
        <v>17</v>
      </c>
      <c r="D20" s="4" t="s">
        <v>56</v>
      </c>
      <c r="E20" s="13" t="s">
        <v>49</v>
      </c>
      <c r="F20" s="14">
        <v>3.15</v>
      </c>
      <c r="G20" s="1">
        <v>2012</v>
      </c>
      <c r="I20" s="16">
        <f t="shared" si="1"/>
        <v>3.15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338</v>
      </c>
      <c r="C21" s="4" t="s">
        <v>17</v>
      </c>
      <c r="D21" s="4" t="s">
        <v>681</v>
      </c>
      <c r="E21" s="13" t="s">
        <v>49</v>
      </c>
      <c r="F21" s="18">
        <v>3.15</v>
      </c>
      <c r="G21" s="4">
        <v>2012</v>
      </c>
      <c r="I21" s="16">
        <f t="shared" si="1"/>
        <v>3.15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4" t="s">
        <v>663</v>
      </c>
      <c r="C22" s="4" t="s">
        <v>31</v>
      </c>
      <c r="D22" s="4" t="s">
        <v>40</v>
      </c>
      <c r="E22" s="13" t="s">
        <v>49</v>
      </c>
      <c r="F22" s="14">
        <v>2.15</v>
      </c>
      <c r="G22" s="1">
        <v>2012</v>
      </c>
      <c r="I22" s="16">
        <f t="shared" si="1"/>
        <v>2.15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4" t="s">
        <v>665</v>
      </c>
      <c r="C23" s="4" t="s">
        <v>38</v>
      </c>
      <c r="D23" s="4" t="s">
        <v>116</v>
      </c>
      <c r="E23" s="13" t="s">
        <v>49</v>
      </c>
      <c r="F23" s="14">
        <v>2.15</v>
      </c>
      <c r="G23" s="1">
        <v>2012</v>
      </c>
      <c r="I23" s="16">
        <f t="shared" si="1"/>
        <v>2.15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4" t="s">
        <v>792</v>
      </c>
      <c r="C24" s="13" t="s">
        <v>17</v>
      </c>
      <c r="D24" s="13" t="s">
        <v>28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4" t="s">
        <v>724</v>
      </c>
      <c r="C25" s="4" t="s">
        <v>38</v>
      </c>
      <c r="D25" s="4" t="s">
        <v>28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6" t="s">
        <v>713</v>
      </c>
      <c r="C26" s="4" t="s">
        <v>17</v>
      </c>
      <c r="D26" s="4" t="s">
        <v>28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773</v>
      </c>
      <c r="C27" s="4" t="s">
        <v>17</v>
      </c>
      <c r="D27" s="4" t="s">
        <v>37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503</v>
      </c>
      <c r="C28" s="4" t="s">
        <v>17</v>
      </c>
      <c r="D28" s="4" t="s">
        <v>32</v>
      </c>
      <c r="E28" s="4" t="s">
        <v>49</v>
      </c>
      <c r="F28" s="18">
        <v>1.3</v>
      </c>
      <c r="G28" s="4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614</v>
      </c>
      <c r="C29" s="4" t="s">
        <v>15</v>
      </c>
      <c r="D29" s="4" t="s">
        <v>39</v>
      </c>
      <c r="E29" s="4" t="s">
        <v>49</v>
      </c>
      <c r="F29" s="18">
        <v>1.3</v>
      </c>
      <c r="G29" s="4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664</v>
      </c>
      <c r="C30" s="4" t="s">
        <v>38</v>
      </c>
      <c r="D30" s="4" t="s">
        <v>23</v>
      </c>
      <c r="E30" s="13" t="s">
        <v>49</v>
      </c>
      <c r="F30" s="18">
        <v>1.3</v>
      </c>
      <c r="G30" s="4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5" t="s">
        <v>726</v>
      </c>
      <c r="C31" s="4" t="s">
        <v>38</v>
      </c>
      <c r="D31" s="4" t="s">
        <v>93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727</v>
      </c>
      <c r="C32" s="4" t="s">
        <v>17</v>
      </c>
      <c r="D32" s="4" t="s">
        <v>50</v>
      </c>
      <c r="E32" s="4" t="s">
        <v>49</v>
      </c>
      <c r="F32" s="18">
        <v>1.3</v>
      </c>
      <c r="G32" s="4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127.30000000000001</v>
      </c>
      <c r="J34" s="17">
        <f>+SUM(J5:J32)</f>
        <v>64.60000000000001</v>
      </c>
      <c r="K34" s="17">
        <f>+SUM(K5:K32)</f>
        <v>37.7</v>
      </c>
      <c r="L34" s="17">
        <f>+SUM(L5:L32)</f>
        <v>18.05</v>
      </c>
      <c r="M34" s="17">
        <f>+SUM(M5:M32)</f>
        <v>8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4" t="s">
        <v>617</v>
      </c>
      <c r="C40" s="13" t="s">
        <v>17</v>
      </c>
      <c r="D40" s="13" t="s">
        <v>28</v>
      </c>
      <c r="E40" s="13" t="s">
        <v>81</v>
      </c>
      <c r="F40" s="14">
        <v>9.1</v>
      </c>
      <c r="G40" s="1">
        <v>2016</v>
      </c>
      <c r="I40" s="16">
        <f aca="true" t="shared" si="3" ref="I40:I45">+CEILING(IF($I$38&lt;=G40,F40*0.3,0),0.05)</f>
        <v>2.75</v>
      </c>
      <c r="J40" s="16">
        <f aca="true" t="shared" si="4" ref="J40:J45">+CEILING(IF($J$38&lt;=G40,F40*0.3,0),0.05)</f>
        <v>2.75</v>
      </c>
      <c r="K40" s="16">
        <f aca="true" t="shared" si="5" ref="K40:K45">+CEILING(IF($K$38&lt;=G40,F40*0.3,0),0.05)</f>
        <v>2.75</v>
      </c>
      <c r="L40" s="16">
        <f aca="true" t="shared" si="6" ref="L40:L45">+CEILING(IF($L$38&lt;=G40,F40*0.3,0),0.05)</f>
        <v>2.75</v>
      </c>
      <c r="M40" s="16">
        <f aca="true" t="shared" si="7" ref="M40:M45">+CEILING(IF($M$38&lt;=G40,F40*0.3,0),0.05)</f>
        <v>2.75</v>
      </c>
    </row>
    <row r="41" spans="1:13" ht="12.75">
      <c r="A41" s="8">
        <v>2</v>
      </c>
      <c r="B41" s="3" t="s">
        <v>619</v>
      </c>
      <c r="C41" s="4" t="s">
        <v>31</v>
      </c>
      <c r="D41" s="4" t="s">
        <v>35</v>
      </c>
      <c r="E41" s="4" t="s">
        <v>81</v>
      </c>
      <c r="F41" s="18">
        <v>5.25</v>
      </c>
      <c r="G41" s="4">
        <v>2016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1.6</v>
      </c>
      <c r="M41" s="16">
        <f t="shared" si="7"/>
        <v>1.6</v>
      </c>
    </row>
    <row r="42" spans="1:13" ht="12.75">
      <c r="A42" s="8">
        <v>3</v>
      </c>
      <c r="B42" s="3" t="s">
        <v>451</v>
      </c>
      <c r="C42" s="4" t="s">
        <v>31</v>
      </c>
      <c r="D42" s="4" t="s">
        <v>93</v>
      </c>
      <c r="E42" s="4" t="s">
        <v>81</v>
      </c>
      <c r="F42" s="16">
        <v>9.9</v>
      </c>
      <c r="G42" s="13">
        <v>2015</v>
      </c>
      <c r="I42" s="16">
        <f t="shared" si="3"/>
        <v>3</v>
      </c>
      <c r="J42" s="16">
        <f t="shared" si="4"/>
        <v>3</v>
      </c>
      <c r="K42" s="16">
        <f t="shared" si="5"/>
        <v>3</v>
      </c>
      <c r="L42" s="16">
        <f t="shared" si="6"/>
        <v>3</v>
      </c>
      <c r="M42" s="16">
        <f t="shared" si="7"/>
        <v>0</v>
      </c>
    </row>
    <row r="43" spans="1:13" ht="12.75">
      <c r="A43" s="8">
        <v>4</v>
      </c>
      <c r="B43" s="34" t="s">
        <v>456</v>
      </c>
      <c r="C43" s="4" t="s">
        <v>17</v>
      </c>
      <c r="D43" s="4" t="s">
        <v>23</v>
      </c>
      <c r="E43" s="13" t="s">
        <v>81</v>
      </c>
      <c r="F43" s="14">
        <v>9.5</v>
      </c>
      <c r="G43" s="1">
        <v>2015</v>
      </c>
      <c r="I43" s="16">
        <f t="shared" si="3"/>
        <v>2.85</v>
      </c>
      <c r="J43" s="16">
        <f t="shared" si="4"/>
        <v>2.85</v>
      </c>
      <c r="K43" s="16">
        <f t="shared" si="5"/>
        <v>2.85</v>
      </c>
      <c r="L43" s="16">
        <f t="shared" si="6"/>
        <v>2.85</v>
      </c>
      <c r="M43" s="16">
        <f t="shared" si="7"/>
        <v>0</v>
      </c>
    </row>
    <row r="44" spans="1:13" ht="12.75">
      <c r="A44" s="8">
        <v>5</v>
      </c>
      <c r="B44" s="3" t="s">
        <v>501</v>
      </c>
      <c r="C44" s="4" t="s">
        <v>17</v>
      </c>
      <c r="D44" s="4" t="s">
        <v>16</v>
      </c>
      <c r="E44" s="4" t="s">
        <v>81</v>
      </c>
      <c r="F44" s="18">
        <v>8.55</v>
      </c>
      <c r="G44" s="4">
        <v>2015</v>
      </c>
      <c r="I44" s="16">
        <f t="shared" si="3"/>
        <v>2.6</v>
      </c>
      <c r="J44" s="16">
        <f t="shared" si="4"/>
        <v>2.6</v>
      </c>
      <c r="K44" s="16">
        <f t="shared" si="5"/>
        <v>2.6</v>
      </c>
      <c r="L44" s="16">
        <f t="shared" si="6"/>
        <v>2.6</v>
      </c>
      <c r="M44" s="16">
        <f t="shared" si="7"/>
        <v>0</v>
      </c>
    </row>
    <row r="45" spans="1:13" ht="12.75">
      <c r="A45" s="8">
        <v>6</v>
      </c>
      <c r="B45" s="34" t="s">
        <v>257</v>
      </c>
      <c r="C45" s="4" t="s">
        <v>15</v>
      </c>
      <c r="D45" s="4" t="s">
        <v>30</v>
      </c>
      <c r="E45" s="4" t="s">
        <v>81</v>
      </c>
      <c r="F45" s="14">
        <v>5.25</v>
      </c>
      <c r="G45" s="2">
        <v>2013</v>
      </c>
      <c r="I45" s="16">
        <f t="shared" si="3"/>
        <v>1.6</v>
      </c>
      <c r="J45" s="16">
        <f t="shared" si="4"/>
        <v>1.6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45" t="s">
        <v>605</v>
      </c>
      <c r="C46" s="22" t="s">
        <v>100</v>
      </c>
      <c r="D46" s="22" t="s">
        <v>100</v>
      </c>
      <c r="E46" s="22" t="s">
        <v>100</v>
      </c>
      <c r="F46" s="18">
        <f>7.35+10.5</f>
        <v>17.85</v>
      </c>
      <c r="G46" s="4">
        <v>2012</v>
      </c>
      <c r="I46" s="16">
        <f>+CEILING(IF($I$38&lt;=G46,F46*0.3,0),0.05)</f>
        <v>5.4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19.799999999999997</v>
      </c>
      <c r="J48" s="12">
        <f>+SUM(J40:J47)</f>
        <v>14.399999999999999</v>
      </c>
      <c r="K48" s="12">
        <f>+SUM(K40:K47)</f>
        <v>12.799999999999999</v>
      </c>
      <c r="L48" s="12">
        <f>+SUM(L40:L47)</f>
        <v>12.799999999999999</v>
      </c>
      <c r="M48" s="12">
        <f>+SUM(M40:M47)</f>
        <v>4.35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155</v>
      </c>
      <c r="C54" s="4" t="s">
        <v>38</v>
      </c>
      <c r="D54" s="4" t="s">
        <v>35</v>
      </c>
      <c r="E54" s="13">
        <v>2010</v>
      </c>
      <c r="F54" s="9">
        <v>5.1</v>
      </c>
      <c r="G54" s="10">
        <v>2012</v>
      </c>
      <c r="I54" s="16">
        <f aca="true" t="shared" si="8" ref="I54:I59">+CEILING(IF($I$52=E54,F54,IF($I$52&lt;=G54,F54*0.3,0)),0.05)</f>
        <v>1.55</v>
      </c>
      <c r="J54" s="16">
        <f aca="true" t="shared" si="9" ref="J54:J59">+CEILING(IF($J$52&lt;=G54,F54*0.3,0),0.05)</f>
        <v>0</v>
      </c>
      <c r="K54" s="16">
        <f aca="true" t="shared" si="10" ref="K54:K59">+CEILING(IF($K$52&lt;=G54,F54*0.3,0),0.05)</f>
        <v>0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3" t="s">
        <v>599</v>
      </c>
      <c r="C55" s="4" t="s">
        <v>17</v>
      </c>
      <c r="D55" s="4" t="s">
        <v>21</v>
      </c>
      <c r="E55" s="13">
        <v>2012</v>
      </c>
      <c r="F55" s="14">
        <v>3</v>
      </c>
      <c r="G55" s="1">
        <v>2012</v>
      </c>
      <c r="I55" s="16">
        <f t="shared" si="8"/>
        <v>3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154</v>
      </c>
      <c r="C56" s="4" t="s">
        <v>19</v>
      </c>
      <c r="D56" s="4" t="s">
        <v>16</v>
      </c>
      <c r="E56" s="13">
        <v>2010</v>
      </c>
      <c r="F56" s="14">
        <v>2.85</v>
      </c>
      <c r="G56" s="1">
        <v>2012</v>
      </c>
      <c r="I56" s="16">
        <f t="shared" si="8"/>
        <v>0.9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176</v>
      </c>
      <c r="C57" s="4" t="s">
        <v>19</v>
      </c>
      <c r="D57" s="47" t="s">
        <v>37</v>
      </c>
      <c r="E57" s="13">
        <v>2011</v>
      </c>
      <c r="F57" s="14">
        <v>1.85</v>
      </c>
      <c r="G57" s="1">
        <v>2012</v>
      </c>
      <c r="I57" s="16">
        <f t="shared" si="8"/>
        <v>0.6000000000000001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745</v>
      </c>
      <c r="C58" s="4" t="s">
        <v>19</v>
      </c>
      <c r="D58" s="4" t="s">
        <v>39</v>
      </c>
      <c r="E58" s="13">
        <v>2012</v>
      </c>
      <c r="F58" s="14">
        <v>1.3</v>
      </c>
      <c r="G58" s="1">
        <v>2012</v>
      </c>
      <c r="I58" s="16">
        <f t="shared" si="8"/>
        <v>1.3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153</v>
      </c>
      <c r="C59" s="4" t="s">
        <v>41</v>
      </c>
      <c r="D59" s="4" t="s">
        <v>48</v>
      </c>
      <c r="E59" s="13">
        <v>2010</v>
      </c>
      <c r="F59" s="14">
        <v>1.05</v>
      </c>
      <c r="G59" s="1">
        <v>2012</v>
      </c>
      <c r="I59" s="16">
        <f t="shared" si="8"/>
        <v>0.35000000000000003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197</v>
      </c>
      <c r="C60" s="4" t="s">
        <v>26</v>
      </c>
      <c r="D60" s="4" t="s">
        <v>23</v>
      </c>
      <c r="E60" s="4">
        <v>2010</v>
      </c>
      <c r="F60" s="14">
        <v>0.9</v>
      </c>
      <c r="G60" s="2">
        <v>2012</v>
      </c>
      <c r="I60" s="16">
        <f aca="true" t="shared" si="13" ref="I60:I67">+CEILING(IF($I$52=E60,F60,IF($I$52&lt;=G60,F60*0.3,0)),0.05)</f>
        <v>0.30000000000000004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B61" s="3" t="s">
        <v>205</v>
      </c>
      <c r="C61" s="4" t="s">
        <v>19</v>
      </c>
      <c r="D61" s="47" t="s">
        <v>32</v>
      </c>
      <c r="E61" s="13">
        <v>2011</v>
      </c>
      <c r="F61" s="18">
        <v>0.9</v>
      </c>
      <c r="G61" s="4">
        <v>2012</v>
      </c>
      <c r="I61" s="16">
        <f t="shared" si="13"/>
        <v>0.30000000000000004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D62" s="4"/>
      <c r="E62" s="13"/>
      <c r="F62" s="18"/>
      <c r="G62" s="4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6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4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8.3</v>
      </c>
      <c r="J70" s="17">
        <f>+SUM(J54:J69)</f>
        <v>0</v>
      </c>
      <c r="K70" s="17">
        <f>+SUM(K54:K69)</f>
        <v>0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104" t="s">
        <v>52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55</v>
      </c>
      <c r="C74" s="6"/>
      <c r="D74" s="6"/>
      <c r="E74" s="6"/>
      <c r="F74" s="6" t="s">
        <v>54</v>
      </c>
      <c r="G74" s="6" t="s">
        <v>53</v>
      </c>
      <c r="I74" s="7">
        <f>+I$3</f>
        <v>2012</v>
      </c>
      <c r="J74" s="7">
        <f>+J$3</f>
        <v>2013</v>
      </c>
      <c r="K74" s="7">
        <f>+K$3</f>
        <v>2014</v>
      </c>
      <c r="L74" s="7">
        <f>+L$3</f>
        <v>2015</v>
      </c>
      <c r="M74" s="7">
        <f>+M$3</f>
        <v>2016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102" t="s">
        <v>289</v>
      </c>
      <c r="C76" s="102"/>
      <c r="D76" s="102"/>
      <c r="E76" s="102"/>
      <c r="F76" s="18">
        <v>-4.85</v>
      </c>
      <c r="G76" s="1">
        <v>2012</v>
      </c>
      <c r="I76" s="29">
        <f>F76</f>
        <v>-4.85</v>
      </c>
      <c r="J76" s="29">
        <v>0</v>
      </c>
      <c r="K76" s="29"/>
      <c r="L76" s="29">
        <v>0</v>
      </c>
      <c r="M76" s="29">
        <v>0</v>
      </c>
    </row>
    <row r="77" spans="1:13" ht="12.75">
      <c r="A77" s="8">
        <v>2</v>
      </c>
      <c r="B77" s="102"/>
      <c r="C77" s="102"/>
      <c r="D77" s="102"/>
      <c r="E77" s="102"/>
      <c r="F77" s="18"/>
      <c r="G77" s="1"/>
      <c r="I77" s="29">
        <f>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12.75">
      <c r="A78" s="8">
        <v>3</v>
      </c>
      <c r="B78" s="102"/>
      <c r="C78" s="102"/>
      <c r="D78" s="102"/>
      <c r="E78" s="102"/>
      <c r="F78" s="18"/>
      <c r="G78" s="4"/>
      <c r="I78" s="29">
        <f>F78</f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ht="12.75">
      <c r="A79" s="8">
        <v>4</v>
      </c>
      <c r="B79" s="102"/>
      <c r="C79" s="102"/>
      <c r="D79" s="102"/>
      <c r="E79" s="102"/>
      <c r="F79" s="18"/>
      <c r="G79" s="1"/>
      <c r="I79" s="29">
        <v>0</v>
      </c>
      <c r="J79" s="29">
        <f>F79</f>
        <v>0</v>
      </c>
      <c r="K79" s="29">
        <v>0</v>
      </c>
      <c r="L79" s="29">
        <v>0</v>
      </c>
      <c r="M79" s="29">
        <v>0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+SUM(I76:I80)</f>
        <v>-4.85</v>
      </c>
      <c r="J81" s="12">
        <f>+SUM(J76:J80)</f>
        <v>0</v>
      </c>
      <c r="K81" s="12">
        <f>+SUM(K76:K80)</f>
        <v>0</v>
      </c>
      <c r="L81" s="12">
        <f>+SUM(L76:L80)</f>
        <v>0</v>
      </c>
      <c r="M81" s="12">
        <f>+SUM(M76:M80)</f>
        <v>0</v>
      </c>
    </row>
    <row r="82" spans="9:13" ht="12.75">
      <c r="I82" s="11"/>
      <c r="J82" s="11"/>
      <c r="K82" s="11"/>
      <c r="L82" s="11"/>
      <c r="M82" s="11"/>
    </row>
    <row r="83" ht="12.75">
      <c r="B83" s="35"/>
    </row>
  </sheetData>
  <sheetProtection/>
  <mergeCells count="8">
    <mergeCell ref="B76:E76"/>
    <mergeCell ref="B77:E77"/>
    <mergeCell ref="B78:E78"/>
    <mergeCell ref="B79:E79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533</v>
      </c>
      <c r="C5" s="4" t="s">
        <v>18</v>
      </c>
      <c r="D5" s="47" t="s">
        <v>27</v>
      </c>
      <c r="E5" s="4" t="s">
        <v>49</v>
      </c>
      <c r="F5" s="18">
        <v>15.15</v>
      </c>
      <c r="G5" s="4">
        <v>2016</v>
      </c>
      <c r="I5" s="16">
        <f aca="true" t="shared" si="0" ref="I5:M14">+IF($G5&gt;=I$3,$F5,0)</f>
        <v>15.15</v>
      </c>
      <c r="J5" s="16">
        <f t="shared" si="0"/>
        <v>15.15</v>
      </c>
      <c r="K5" s="16">
        <f t="shared" si="0"/>
        <v>15.15</v>
      </c>
      <c r="L5" s="16">
        <f t="shared" si="0"/>
        <v>15.15</v>
      </c>
      <c r="M5" s="16">
        <f t="shared" si="0"/>
        <v>15.15</v>
      </c>
    </row>
    <row r="6" spans="1:13" ht="12.75">
      <c r="A6" s="8">
        <v>2</v>
      </c>
      <c r="B6" s="34" t="s">
        <v>538</v>
      </c>
      <c r="C6" s="4" t="s">
        <v>19</v>
      </c>
      <c r="D6" s="4" t="s">
        <v>22</v>
      </c>
      <c r="E6" s="13" t="s">
        <v>49</v>
      </c>
      <c r="F6" s="14">
        <v>12.55</v>
      </c>
      <c r="G6" s="2">
        <v>2016</v>
      </c>
      <c r="I6" s="16">
        <f t="shared" si="0"/>
        <v>12.55</v>
      </c>
      <c r="J6" s="16">
        <f t="shared" si="0"/>
        <v>12.55</v>
      </c>
      <c r="K6" s="16">
        <f t="shared" si="0"/>
        <v>12.55</v>
      </c>
      <c r="L6" s="16">
        <f t="shared" si="0"/>
        <v>12.55</v>
      </c>
      <c r="M6" s="16">
        <f t="shared" si="0"/>
        <v>12.55</v>
      </c>
    </row>
    <row r="7" spans="1:13" ht="12.75">
      <c r="A7" s="8">
        <v>3</v>
      </c>
      <c r="B7" s="34" t="s">
        <v>534</v>
      </c>
      <c r="C7" s="4" t="s">
        <v>31</v>
      </c>
      <c r="D7" s="47" t="s">
        <v>20</v>
      </c>
      <c r="E7" s="13" t="s">
        <v>49</v>
      </c>
      <c r="F7" s="14">
        <v>11.6</v>
      </c>
      <c r="G7" s="1">
        <v>2016</v>
      </c>
      <c r="I7" s="16">
        <f t="shared" si="0"/>
        <v>11.6</v>
      </c>
      <c r="J7" s="16">
        <f t="shared" si="0"/>
        <v>11.6</v>
      </c>
      <c r="K7" s="16">
        <f t="shared" si="0"/>
        <v>11.6</v>
      </c>
      <c r="L7" s="16">
        <f t="shared" si="0"/>
        <v>11.6</v>
      </c>
      <c r="M7" s="16">
        <f t="shared" si="0"/>
        <v>11.6</v>
      </c>
    </row>
    <row r="8" spans="1:13" ht="12.75">
      <c r="A8" s="8">
        <v>4</v>
      </c>
      <c r="B8" s="34" t="s">
        <v>576</v>
      </c>
      <c r="C8" s="4" t="s">
        <v>26</v>
      </c>
      <c r="D8" s="4" t="s">
        <v>43</v>
      </c>
      <c r="E8" s="13" t="s">
        <v>49</v>
      </c>
      <c r="F8" s="14">
        <v>7.5</v>
      </c>
      <c r="G8" s="1">
        <v>2016</v>
      </c>
      <c r="I8" s="16">
        <f t="shared" si="0"/>
        <v>7.5</v>
      </c>
      <c r="J8" s="16">
        <f t="shared" si="0"/>
        <v>7.5</v>
      </c>
      <c r="K8" s="16">
        <f t="shared" si="0"/>
        <v>7.5</v>
      </c>
      <c r="L8" s="16">
        <f t="shared" si="0"/>
        <v>7.5</v>
      </c>
      <c r="M8" s="16">
        <f t="shared" si="0"/>
        <v>7.5</v>
      </c>
    </row>
    <row r="9" spans="1:13" ht="12.75">
      <c r="A9" s="8">
        <v>5</v>
      </c>
      <c r="B9" s="3" t="s">
        <v>653</v>
      </c>
      <c r="C9" s="4" t="s">
        <v>17</v>
      </c>
      <c r="D9" s="4" t="s">
        <v>32</v>
      </c>
      <c r="E9" s="13" t="s">
        <v>49</v>
      </c>
      <c r="F9" s="14">
        <v>1.6</v>
      </c>
      <c r="G9" s="10">
        <v>2016</v>
      </c>
      <c r="I9" s="16">
        <f t="shared" si="0"/>
        <v>1.6</v>
      </c>
      <c r="J9" s="16">
        <f t="shared" si="0"/>
        <v>1.6</v>
      </c>
      <c r="K9" s="16">
        <f t="shared" si="0"/>
        <v>1.6</v>
      </c>
      <c r="L9" s="16">
        <f t="shared" si="0"/>
        <v>1.6</v>
      </c>
      <c r="M9" s="16">
        <f t="shared" si="0"/>
        <v>1.6</v>
      </c>
    </row>
    <row r="10" spans="1:13" ht="12.75">
      <c r="A10" s="8">
        <v>6</v>
      </c>
      <c r="B10" s="3" t="s">
        <v>643</v>
      </c>
      <c r="C10" s="4" t="s">
        <v>19</v>
      </c>
      <c r="D10" s="4" t="s">
        <v>22</v>
      </c>
      <c r="E10" s="13" t="s">
        <v>49</v>
      </c>
      <c r="F10" s="14">
        <v>1.3</v>
      </c>
      <c r="G10" s="1">
        <v>2016</v>
      </c>
      <c r="I10" s="16">
        <f t="shared" si="0"/>
        <v>1.3</v>
      </c>
      <c r="J10" s="16">
        <f t="shared" si="0"/>
        <v>1.3</v>
      </c>
      <c r="K10" s="16">
        <f t="shared" si="0"/>
        <v>1.3</v>
      </c>
      <c r="L10" s="16">
        <f t="shared" si="0"/>
        <v>1.3</v>
      </c>
      <c r="M10" s="16">
        <f t="shared" si="0"/>
        <v>1.3</v>
      </c>
    </row>
    <row r="11" spans="1:13" ht="12.75">
      <c r="A11" s="8">
        <v>7</v>
      </c>
      <c r="B11" s="46" t="s">
        <v>423</v>
      </c>
      <c r="C11" s="4" t="s">
        <v>15</v>
      </c>
      <c r="D11" s="4" t="s">
        <v>21</v>
      </c>
      <c r="E11" s="13" t="s">
        <v>49</v>
      </c>
      <c r="F11" s="14">
        <v>12.1</v>
      </c>
      <c r="G11" s="1">
        <v>2015</v>
      </c>
      <c r="I11" s="16">
        <f t="shared" si="0"/>
        <v>12.1</v>
      </c>
      <c r="J11" s="16">
        <f t="shared" si="0"/>
        <v>12.1</v>
      </c>
      <c r="K11" s="16">
        <f t="shared" si="0"/>
        <v>12.1</v>
      </c>
      <c r="L11" s="16">
        <f t="shared" si="0"/>
        <v>12.1</v>
      </c>
      <c r="M11" s="16">
        <f t="shared" si="0"/>
        <v>0</v>
      </c>
    </row>
    <row r="12" spans="1:13" ht="12.75">
      <c r="A12" s="8">
        <v>8</v>
      </c>
      <c r="B12" s="34" t="s">
        <v>519</v>
      </c>
      <c r="C12" s="4" t="s">
        <v>17</v>
      </c>
      <c r="D12" s="4" t="s">
        <v>50</v>
      </c>
      <c r="E12" s="13" t="s">
        <v>49</v>
      </c>
      <c r="F12" s="14">
        <v>1.55</v>
      </c>
      <c r="G12" s="1">
        <v>2015</v>
      </c>
      <c r="I12" s="16">
        <f t="shared" si="0"/>
        <v>1.55</v>
      </c>
      <c r="J12" s="16">
        <f t="shared" si="0"/>
        <v>1.55</v>
      </c>
      <c r="K12" s="16">
        <f t="shared" si="0"/>
        <v>1.55</v>
      </c>
      <c r="L12" s="16">
        <f t="shared" si="0"/>
        <v>1.55</v>
      </c>
      <c r="M12" s="16">
        <f t="shared" si="0"/>
        <v>0</v>
      </c>
    </row>
    <row r="13" spans="1:13" ht="12.75">
      <c r="A13" s="8">
        <v>9</v>
      </c>
      <c r="B13" s="3" t="s">
        <v>398</v>
      </c>
      <c r="C13" s="4" t="s">
        <v>17</v>
      </c>
      <c r="D13" s="4" t="s">
        <v>35</v>
      </c>
      <c r="E13" s="4" t="s">
        <v>49</v>
      </c>
      <c r="F13" s="30">
        <v>6.7</v>
      </c>
      <c r="G13" s="4">
        <v>2014</v>
      </c>
      <c r="I13" s="16">
        <f t="shared" si="0"/>
        <v>6.7</v>
      </c>
      <c r="J13" s="16">
        <f t="shared" si="0"/>
        <v>6.7</v>
      </c>
      <c r="K13" s="16">
        <f t="shared" si="0"/>
        <v>6.7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297</v>
      </c>
      <c r="C14" s="4" t="s">
        <v>38</v>
      </c>
      <c r="D14" s="4" t="s">
        <v>24</v>
      </c>
      <c r="E14" s="13" t="s">
        <v>49</v>
      </c>
      <c r="F14" s="9">
        <v>5.6</v>
      </c>
      <c r="G14" s="10">
        <v>2014</v>
      </c>
      <c r="I14" s="16">
        <f t="shared" si="0"/>
        <v>5.6</v>
      </c>
      <c r="J14" s="16">
        <f t="shared" si="0"/>
        <v>5.6</v>
      </c>
      <c r="K14" s="16">
        <f t="shared" si="0"/>
        <v>5.6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357</v>
      </c>
      <c r="C15" s="4" t="s">
        <v>19</v>
      </c>
      <c r="D15" s="4" t="s">
        <v>25</v>
      </c>
      <c r="E15" s="13" t="s">
        <v>49</v>
      </c>
      <c r="F15" s="14">
        <v>1.7</v>
      </c>
      <c r="G15" s="1">
        <v>2014</v>
      </c>
      <c r="I15" s="16">
        <f aca="true" t="shared" si="1" ref="I15:M24">+IF($G15&gt;=I$3,$F15,0)</f>
        <v>1.7</v>
      </c>
      <c r="J15" s="16">
        <f t="shared" si="1"/>
        <v>1.7</v>
      </c>
      <c r="K15" s="16">
        <f t="shared" si="1"/>
        <v>1.7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5" t="s">
        <v>215</v>
      </c>
      <c r="C16" s="4" t="s">
        <v>41</v>
      </c>
      <c r="D16" s="4" t="s">
        <v>39</v>
      </c>
      <c r="E16" s="13" t="s">
        <v>49</v>
      </c>
      <c r="F16" s="14">
        <v>11</v>
      </c>
      <c r="G16" s="1">
        <v>2013</v>
      </c>
      <c r="I16" s="16">
        <f t="shared" si="1"/>
        <v>11</v>
      </c>
      <c r="J16" s="16">
        <f t="shared" si="1"/>
        <v>11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5" t="s">
        <v>417</v>
      </c>
      <c r="C17" s="4" t="s">
        <v>17</v>
      </c>
      <c r="D17" s="47" t="s">
        <v>39</v>
      </c>
      <c r="E17" s="13" t="s">
        <v>49</v>
      </c>
      <c r="F17" s="14">
        <v>9.5</v>
      </c>
      <c r="G17" s="1">
        <v>2013</v>
      </c>
      <c r="I17" s="16">
        <f t="shared" si="1"/>
        <v>9.5</v>
      </c>
      <c r="J17" s="16">
        <f t="shared" si="1"/>
        <v>9.5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532</v>
      </c>
      <c r="C18" s="4" t="s">
        <v>38</v>
      </c>
      <c r="D18" s="47" t="s">
        <v>43</v>
      </c>
      <c r="E18" s="4" t="s">
        <v>49</v>
      </c>
      <c r="F18" s="18">
        <v>8.1</v>
      </c>
      <c r="G18" s="4">
        <v>2013</v>
      </c>
      <c r="I18" s="16">
        <f t="shared" si="1"/>
        <v>8.1</v>
      </c>
      <c r="J18" s="16">
        <f t="shared" si="1"/>
        <v>8.1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537</v>
      </c>
      <c r="C19" s="4" t="s">
        <v>38</v>
      </c>
      <c r="D19" s="4" t="s">
        <v>37</v>
      </c>
      <c r="E19" s="13" t="s">
        <v>49</v>
      </c>
      <c r="F19" s="14">
        <v>8.1</v>
      </c>
      <c r="G19" s="1">
        <v>2013</v>
      </c>
      <c r="I19" s="16">
        <f t="shared" si="1"/>
        <v>8.1</v>
      </c>
      <c r="J19" s="16">
        <f t="shared" si="1"/>
        <v>8.1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535</v>
      </c>
      <c r="C20" s="4" t="s">
        <v>38</v>
      </c>
      <c r="D20" s="4" t="s">
        <v>681</v>
      </c>
      <c r="E20" s="4" t="s">
        <v>49</v>
      </c>
      <c r="F20" s="18">
        <v>7.85</v>
      </c>
      <c r="G20" s="4">
        <v>2013</v>
      </c>
      <c r="I20" s="16">
        <f t="shared" si="1"/>
        <v>7.85</v>
      </c>
      <c r="J20" s="16">
        <f t="shared" si="1"/>
        <v>7.85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6" t="s">
        <v>283</v>
      </c>
      <c r="C21" s="4" t="s">
        <v>17</v>
      </c>
      <c r="D21" s="4" t="s">
        <v>50</v>
      </c>
      <c r="E21" s="13" t="s">
        <v>49</v>
      </c>
      <c r="F21" s="14">
        <v>7.15</v>
      </c>
      <c r="G21" s="1">
        <v>2013</v>
      </c>
      <c r="I21" s="16">
        <f t="shared" si="1"/>
        <v>7.15</v>
      </c>
      <c r="J21" s="16">
        <f t="shared" si="1"/>
        <v>7.15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4" t="s">
        <v>621</v>
      </c>
      <c r="C22" s="4" t="s">
        <v>17</v>
      </c>
      <c r="D22" s="4" t="s">
        <v>16</v>
      </c>
      <c r="E22" s="13" t="s">
        <v>49</v>
      </c>
      <c r="F22" s="14">
        <v>2.55</v>
      </c>
      <c r="G22" s="1">
        <v>2013</v>
      </c>
      <c r="I22" s="16">
        <f t="shared" si="1"/>
        <v>2.55</v>
      </c>
      <c r="J22" s="16">
        <f t="shared" si="1"/>
        <v>2.55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6" t="s">
        <v>198</v>
      </c>
      <c r="C23" s="4" t="s">
        <v>19</v>
      </c>
      <c r="D23" s="4" t="s">
        <v>56</v>
      </c>
      <c r="E23" s="13" t="s">
        <v>49</v>
      </c>
      <c r="F23" s="14">
        <v>5.85</v>
      </c>
      <c r="G23" s="1">
        <v>2012</v>
      </c>
      <c r="I23" s="16">
        <f t="shared" si="1"/>
        <v>5.85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188</v>
      </c>
      <c r="C24" s="4" t="s">
        <v>17</v>
      </c>
      <c r="D24" s="47" t="s">
        <v>50</v>
      </c>
      <c r="E24" s="4" t="s">
        <v>49</v>
      </c>
      <c r="F24" s="18">
        <v>4.15</v>
      </c>
      <c r="G24" s="4">
        <v>2012</v>
      </c>
      <c r="I24" s="16">
        <f t="shared" si="1"/>
        <v>4.15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1" t="s">
        <v>220</v>
      </c>
      <c r="C25" s="4" t="s">
        <v>17</v>
      </c>
      <c r="D25" s="4" t="s">
        <v>45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6" t="s">
        <v>802</v>
      </c>
      <c r="C26" s="4" t="s">
        <v>26</v>
      </c>
      <c r="D26" s="4" t="s">
        <v>40</v>
      </c>
      <c r="E26" s="13" t="s">
        <v>49</v>
      </c>
      <c r="F26" s="16">
        <v>1.3</v>
      </c>
      <c r="G26" s="13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578</v>
      </c>
      <c r="C27" s="4" t="s">
        <v>15</v>
      </c>
      <c r="D27" s="4" t="s">
        <v>23</v>
      </c>
      <c r="E27" s="4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782</v>
      </c>
      <c r="C28" s="4" t="s">
        <v>31</v>
      </c>
      <c r="D28" s="4" t="s">
        <v>25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4" t="s">
        <v>722</v>
      </c>
      <c r="C29" s="4" t="s">
        <v>17</v>
      </c>
      <c r="D29" s="4" t="s">
        <v>24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 t="s">
        <v>731</v>
      </c>
      <c r="C30" s="4" t="s">
        <v>38</v>
      </c>
      <c r="D30" s="4" t="s">
        <v>681</v>
      </c>
      <c r="E30" s="13" t="s">
        <v>49</v>
      </c>
      <c r="F30" s="14">
        <v>1.3</v>
      </c>
      <c r="G30" s="1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 t="s">
        <v>770</v>
      </c>
      <c r="C31" s="4" t="s">
        <v>26</v>
      </c>
      <c r="D31" s="4" t="s">
        <v>57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4" t="s">
        <v>755</v>
      </c>
      <c r="C32" s="4" t="s">
        <v>38</v>
      </c>
      <c r="D32" s="4" t="s">
        <v>24</v>
      </c>
      <c r="E32" s="13" t="s">
        <v>49</v>
      </c>
      <c r="F32" s="14">
        <v>1.3</v>
      </c>
      <c r="G32" s="1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30"/>
      <c r="G34" s="4"/>
      <c r="I34" s="17">
        <f>+SUM(I5:I32)</f>
        <v>152.00000000000009</v>
      </c>
      <c r="J34" s="17">
        <f>+SUM(J5:J32)</f>
        <v>131.6</v>
      </c>
      <c r="K34" s="17">
        <f>+SUM(K5:K32)</f>
        <v>77.35</v>
      </c>
      <c r="L34" s="17">
        <f>+SUM(L5:L32)</f>
        <v>63.35</v>
      </c>
      <c r="M34" s="17">
        <f>+SUM(M5:M32)</f>
        <v>49.7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1" t="s">
        <v>655</v>
      </c>
      <c r="C40" s="4" t="s">
        <v>15</v>
      </c>
      <c r="D40" s="4" t="s">
        <v>25</v>
      </c>
      <c r="E40" s="13" t="s">
        <v>81</v>
      </c>
      <c r="F40" s="14">
        <v>1.3</v>
      </c>
      <c r="G40" s="1">
        <v>2016</v>
      </c>
      <c r="I40" s="16">
        <f aca="true" t="shared" si="3" ref="I40:I46">+CEILING(IF($I$38&lt;=G40,F40*0.3,0),0.05)</f>
        <v>0.4</v>
      </c>
      <c r="J40" s="16">
        <f aca="true" t="shared" si="4" ref="J40:J46">+CEILING(IF($J$38&lt;=G40,F40*0.3,0),0.05)</f>
        <v>0.4</v>
      </c>
      <c r="K40" s="16">
        <f aca="true" t="shared" si="5" ref="K40:K46">+CEILING(IF($K$38&lt;=G40,F40*0.3,0),0.05)</f>
        <v>0.4</v>
      </c>
      <c r="L40" s="16">
        <f aca="true" t="shared" si="6" ref="L40:L46">+CEILING(IF($L$38&lt;=G40,F40*0.3,0),0.05)</f>
        <v>0.4</v>
      </c>
      <c r="M40" s="16">
        <f aca="true" t="shared" si="7" ref="M40:M46">+CEILING(IF($M$38&lt;=G40,F40*0.3,0),0.05)</f>
        <v>0.4</v>
      </c>
    </row>
    <row r="41" spans="1:13" ht="12.75">
      <c r="A41" s="8">
        <v>2</v>
      </c>
      <c r="B41" s="3" t="s">
        <v>275</v>
      </c>
      <c r="C41" s="4" t="s">
        <v>38</v>
      </c>
      <c r="D41" s="4" t="s">
        <v>44</v>
      </c>
      <c r="E41" s="13" t="s">
        <v>81</v>
      </c>
      <c r="F41" s="18">
        <v>5.95</v>
      </c>
      <c r="G41" s="4">
        <v>2013</v>
      </c>
      <c r="I41" s="16">
        <f t="shared" si="3"/>
        <v>1.8</v>
      </c>
      <c r="J41" s="16">
        <f t="shared" si="4"/>
        <v>1.8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199</v>
      </c>
      <c r="C42" s="4" t="s">
        <v>17</v>
      </c>
      <c r="D42" s="4" t="s">
        <v>24</v>
      </c>
      <c r="E42" s="4" t="s">
        <v>81</v>
      </c>
      <c r="F42" s="14">
        <v>4.3</v>
      </c>
      <c r="G42" s="1">
        <v>2012</v>
      </c>
      <c r="I42" s="16">
        <f t="shared" si="3"/>
        <v>1.3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C46" s="22"/>
      <c r="D46" s="22"/>
      <c r="E46" s="22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3.5</v>
      </c>
      <c r="J48" s="12">
        <f>+SUM(J40:J47)</f>
        <v>2.2</v>
      </c>
      <c r="K48" s="12">
        <f>+SUM(K40:K47)</f>
        <v>0.4</v>
      </c>
      <c r="L48" s="12">
        <f>+SUM(L40:L47)</f>
        <v>0.4</v>
      </c>
      <c r="M48" s="12">
        <f>+SUM(M40:M47)</f>
        <v>0.4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513</v>
      </c>
      <c r="C54" s="4" t="s">
        <v>19</v>
      </c>
      <c r="D54" s="4" t="s">
        <v>29</v>
      </c>
      <c r="E54" s="13">
        <v>2011</v>
      </c>
      <c r="F54" s="14">
        <v>3.8</v>
      </c>
      <c r="G54" s="1">
        <v>2015</v>
      </c>
      <c r="I54" s="16">
        <f aca="true" t="shared" si="8" ref="I54:I63">+CEILING(IF($I$52=E54,F54,IF($I$52&lt;=G54,F54*0.3,0)),0.05)</f>
        <v>1.1500000000000001</v>
      </c>
      <c r="J54" s="16">
        <f aca="true" t="shared" si="9" ref="J54:J63">+CEILING(IF($J$52&lt;=G54,F54*0.3,0),0.05)</f>
        <v>1.1500000000000001</v>
      </c>
      <c r="K54" s="16">
        <f aca="true" t="shared" si="10" ref="K54:K63">+CEILING(IF($K$52&lt;=G54,F54*0.3,0),0.05)</f>
        <v>1.1500000000000001</v>
      </c>
      <c r="L54" s="16">
        <f aca="true" t="shared" si="11" ref="L54:L63">+CEILING(IF($L$52&lt;=G54,F54*0.3,0),0.05)</f>
        <v>1.1500000000000001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3" t="s">
        <v>484</v>
      </c>
      <c r="C55" s="4" t="s">
        <v>17</v>
      </c>
      <c r="D55" s="4" t="s">
        <v>47</v>
      </c>
      <c r="E55" s="13">
        <v>2011</v>
      </c>
      <c r="F55" s="14">
        <v>2.6</v>
      </c>
      <c r="G55" s="2">
        <v>2015</v>
      </c>
      <c r="I55" s="16">
        <f t="shared" si="8"/>
        <v>0.8</v>
      </c>
      <c r="J55" s="16">
        <f t="shared" si="9"/>
        <v>0.8</v>
      </c>
      <c r="K55" s="16">
        <f t="shared" si="10"/>
        <v>0.8</v>
      </c>
      <c r="L55" s="16">
        <f t="shared" si="11"/>
        <v>0.8</v>
      </c>
      <c r="M55" s="16">
        <f t="shared" si="12"/>
        <v>0</v>
      </c>
    </row>
    <row r="56" spans="1:13" ht="12.75">
      <c r="A56" s="8">
        <v>3</v>
      </c>
      <c r="B56" s="46" t="s">
        <v>156</v>
      </c>
      <c r="C56" s="4" t="s">
        <v>38</v>
      </c>
      <c r="D56" s="4" t="s">
        <v>33</v>
      </c>
      <c r="E56" s="13">
        <v>2012</v>
      </c>
      <c r="F56" s="16">
        <v>4.5</v>
      </c>
      <c r="G56" s="13">
        <v>2012</v>
      </c>
      <c r="I56" s="16">
        <f t="shared" si="8"/>
        <v>4.5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4" t="s">
        <v>732</v>
      </c>
      <c r="C57" s="4" t="s">
        <v>38</v>
      </c>
      <c r="D57" s="4" t="s">
        <v>25</v>
      </c>
      <c r="E57" s="13">
        <v>2012</v>
      </c>
      <c r="F57" s="14">
        <v>1.3</v>
      </c>
      <c r="G57" s="1">
        <v>2012</v>
      </c>
      <c r="I57" s="16">
        <f t="shared" si="8"/>
        <v>1.3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4" t="s">
        <v>781</v>
      </c>
      <c r="C58" s="4" t="s">
        <v>26</v>
      </c>
      <c r="D58" s="4" t="s">
        <v>39</v>
      </c>
      <c r="E58" s="13">
        <v>2012</v>
      </c>
      <c r="F58" s="14">
        <v>1.3</v>
      </c>
      <c r="G58" s="1">
        <v>2012</v>
      </c>
      <c r="I58" s="16">
        <f t="shared" si="8"/>
        <v>1.3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6" t="s">
        <v>741</v>
      </c>
      <c r="C59" s="4" t="s">
        <v>17</v>
      </c>
      <c r="D59" s="4" t="s">
        <v>50</v>
      </c>
      <c r="E59" s="13">
        <v>2012</v>
      </c>
      <c r="F59" s="16">
        <v>1.3</v>
      </c>
      <c r="G59" s="13">
        <v>2012</v>
      </c>
      <c r="I59" s="16">
        <f t="shared" si="8"/>
        <v>1.3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10.350000000000001</v>
      </c>
      <c r="J65" s="17">
        <f>+SUM(J54:J64)</f>
        <v>1.9500000000000002</v>
      </c>
      <c r="K65" s="17">
        <f>+SUM(K54:K64)</f>
        <v>1.9500000000000002</v>
      </c>
      <c r="L65" s="17">
        <f>+SUM(L54:L64)</f>
        <v>1.9500000000000002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55</v>
      </c>
      <c r="C69" s="6"/>
      <c r="D69" s="6"/>
      <c r="E69" s="6"/>
      <c r="F69" s="6" t="s">
        <v>54</v>
      </c>
      <c r="G69" s="6" t="s">
        <v>53</v>
      </c>
      <c r="I69" s="7">
        <f>+I$3</f>
        <v>2012</v>
      </c>
      <c r="J69" s="7">
        <f>+J$3</f>
        <v>2013</v>
      </c>
      <c r="K69" s="7">
        <f>+K$3</f>
        <v>2014</v>
      </c>
      <c r="L69" s="7">
        <f>+L$3</f>
        <v>2015</v>
      </c>
      <c r="M69" s="7">
        <f>+M$3</f>
        <v>2016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102"/>
      <c r="C71" s="102"/>
      <c r="D71" s="102"/>
      <c r="E71" s="102"/>
      <c r="F71" s="16"/>
      <c r="G71" s="13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102"/>
      <c r="C72" s="102"/>
      <c r="D72" s="102"/>
      <c r="E72" s="102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6" t="s">
        <v>675</v>
      </c>
      <c r="C5" s="4" t="s">
        <v>19</v>
      </c>
      <c r="D5" s="47" t="s">
        <v>25</v>
      </c>
      <c r="E5" s="13" t="s">
        <v>49</v>
      </c>
      <c r="F5" s="14">
        <v>6.7</v>
      </c>
      <c r="G5" s="1">
        <v>2016</v>
      </c>
      <c r="I5" s="16">
        <f aca="true" t="shared" si="0" ref="I5:M14">+IF($G5&gt;=I$3,$F5,0)</f>
        <v>6.7</v>
      </c>
      <c r="J5" s="16">
        <f t="shared" si="0"/>
        <v>6.7</v>
      </c>
      <c r="K5" s="16">
        <f t="shared" si="0"/>
        <v>6.7</v>
      </c>
      <c r="L5" s="16">
        <f t="shared" si="0"/>
        <v>6.7</v>
      </c>
      <c r="M5" s="16">
        <f t="shared" si="0"/>
        <v>6.7</v>
      </c>
    </row>
    <row r="6" spans="1:13" ht="12.75">
      <c r="A6" s="8">
        <v>2</v>
      </c>
      <c r="B6" s="46" t="s">
        <v>679</v>
      </c>
      <c r="C6" s="4" t="s">
        <v>38</v>
      </c>
      <c r="D6" s="47" t="s">
        <v>29</v>
      </c>
      <c r="E6" s="13" t="s">
        <v>49</v>
      </c>
      <c r="F6" s="14">
        <v>2.65</v>
      </c>
      <c r="G6" s="1">
        <v>2016</v>
      </c>
      <c r="I6" s="16">
        <f t="shared" si="0"/>
        <v>2.65</v>
      </c>
      <c r="J6" s="16">
        <f t="shared" si="0"/>
        <v>2.65</v>
      </c>
      <c r="K6" s="16">
        <f t="shared" si="0"/>
        <v>2.65</v>
      </c>
      <c r="L6" s="16">
        <f t="shared" si="0"/>
        <v>2.65</v>
      </c>
      <c r="M6" s="16">
        <f t="shared" si="0"/>
        <v>2.65</v>
      </c>
    </row>
    <row r="7" spans="1:13" ht="12.75">
      <c r="A7" s="8">
        <v>3</v>
      </c>
      <c r="B7" s="46" t="s">
        <v>425</v>
      </c>
      <c r="C7" s="4" t="s">
        <v>41</v>
      </c>
      <c r="D7" s="4" t="s">
        <v>27</v>
      </c>
      <c r="E7" s="13" t="s">
        <v>49</v>
      </c>
      <c r="F7" s="14">
        <v>9.2</v>
      </c>
      <c r="G7" s="1">
        <v>2015</v>
      </c>
      <c r="I7" s="16">
        <f aca="true" t="shared" si="1" ref="I7:M8">+IF($G7&gt;=I$3,$F7,0)</f>
        <v>9.2</v>
      </c>
      <c r="J7" s="16">
        <f t="shared" si="1"/>
        <v>9.2</v>
      </c>
      <c r="K7" s="16">
        <f t="shared" si="1"/>
        <v>9.2</v>
      </c>
      <c r="L7" s="16">
        <f t="shared" si="1"/>
        <v>9.2</v>
      </c>
      <c r="M7" s="16">
        <f t="shared" si="1"/>
        <v>0</v>
      </c>
    </row>
    <row r="8" spans="1:13" ht="12.75">
      <c r="A8" s="8">
        <v>4</v>
      </c>
      <c r="B8" s="34" t="s">
        <v>570</v>
      </c>
      <c r="C8" s="4" t="s">
        <v>15</v>
      </c>
      <c r="D8" s="4" t="s">
        <v>37</v>
      </c>
      <c r="E8" s="13" t="s">
        <v>49</v>
      </c>
      <c r="F8" s="14">
        <v>5.65</v>
      </c>
      <c r="G8" s="1">
        <v>2015</v>
      </c>
      <c r="I8" s="16">
        <f t="shared" si="1"/>
        <v>5.65</v>
      </c>
      <c r="J8" s="16">
        <f t="shared" si="1"/>
        <v>5.65</v>
      </c>
      <c r="K8" s="16">
        <f t="shared" si="1"/>
        <v>5.65</v>
      </c>
      <c r="L8" s="16">
        <f t="shared" si="1"/>
        <v>5.65</v>
      </c>
      <c r="M8" s="16">
        <f t="shared" si="1"/>
        <v>0</v>
      </c>
    </row>
    <row r="9" spans="1:13" ht="12.75">
      <c r="A9" s="8">
        <v>5</v>
      </c>
      <c r="B9" s="46" t="s">
        <v>569</v>
      </c>
      <c r="C9" s="4" t="s">
        <v>18</v>
      </c>
      <c r="D9" s="4" t="s">
        <v>16</v>
      </c>
      <c r="E9" s="13" t="s">
        <v>49</v>
      </c>
      <c r="F9" s="14">
        <v>7.55</v>
      </c>
      <c r="G9" s="2">
        <v>2014</v>
      </c>
      <c r="I9" s="16">
        <f t="shared" si="0"/>
        <v>7.55</v>
      </c>
      <c r="J9" s="16">
        <f t="shared" si="0"/>
        <v>7.55</v>
      </c>
      <c r="K9" s="16">
        <f t="shared" si="0"/>
        <v>7.55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46" t="s">
        <v>676</v>
      </c>
      <c r="C10" s="4" t="s">
        <v>38</v>
      </c>
      <c r="D10" s="4" t="s">
        <v>27</v>
      </c>
      <c r="E10" s="13" t="s">
        <v>49</v>
      </c>
      <c r="F10" s="14">
        <v>7.1</v>
      </c>
      <c r="G10" s="1">
        <v>2014</v>
      </c>
      <c r="I10" s="16">
        <f t="shared" si="0"/>
        <v>7.1</v>
      </c>
      <c r="J10" s="16">
        <f t="shared" si="0"/>
        <v>7.1</v>
      </c>
      <c r="K10" s="16">
        <f t="shared" si="0"/>
        <v>7.1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378</v>
      </c>
      <c r="C11" s="4" t="s">
        <v>17</v>
      </c>
      <c r="D11" s="4" t="s">
        <v>57</v>
      </c>
      <c r="E11" s="13" t="s">
        <v>49</v>
      </c>
      <c r="F11" s="14">
        <v>5.7</v>
      </c>
      <c r="G11" s="1">
        <v>2014</v>
      </c>
      <c r="I11" s="16">
        <f t="shared" si="0"/>
        <v>5.7</v>
      </c>
      <c r="J11" s="16">
        <f t="shared" si="0"/>
        <v>5.7</v>
      </c>
      <c r="K11" s="16">
        <f t="shared" si="0"/>
        <v>5.7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316</v>
      </c>
      <c r="C12" s="4" t="s">
        <v>19</v>
      </c>
      <c r="D12" s="4" t="s">
        <v>57</v>
      </c>
      <c r="E12" s="13" t="s">
        <v>49</v>
      </c>
      <c r="F12" s="14">
        <v>4.85</v>
      </c>
      <c r="G12" s="10">
        <v>2014</v>
      </c>
      <c r="I12" s="16">
        <f t="shared" si="0"/>
        <v>4.85</v>
      </c>
      <c r="J12" s="16">
        <f t="shared" si="0"/>
        <v>4.85</v>
      </c>
      <c r="K12" s="16">
        <f t="shared" si="0"/>
        <v>4.85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46" t="s">
        <v>678</v>
      </c>
      <c r="C13" s="4" t="s">
        <v>31</v>
      </c>
      <c r="D13" s="4" t="s">
        <v>27</v>
      </c>
      <c r="E13" s="13" t="s">
        <v>49</v>
      </c>
      <c r="F13" s="14">
        <v>4.7</v>
      </c>
      <c r="G13" s="2">
        <v>2014</v>
      </c>
      <c r="I13" s="16">
        <f t="shared" si="0"/>
        <v>4.7</v>
      </c>
      <c r="J13" s="16">
        <f t="shared" si="0"/>
        <v>4.7</v>
      </c>
      <c r="K13" s="16">
        <f t="shared" si="0"/>
        <v>4.7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439</v>
      </c>
      <c r="C14" s="4" t="s">
        <v>19</v>
      </c>
      <c r="D14" s="47" t="s">
        <v>30</v>
      </c>
      <c r="E14" s="13" t="s">
        <v>49</v>
      </c>
      <c r="F14" s="14">
        <v>4</v>
      </c>
      <c r="G14" s="1">
        <v>2014</v>
      </c>
      <c r="I14" s="16">
        <f t="shared" si="0"/>
        <v>4</v>
      </c>
      <c r="J14" s="16">
        <f t="shared" si="0"/>
        <v>4</v>
      </c>
      <c r="K14" s="16">
        <f t="shared" si="0"/>
        <v>4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5" t="s">
        <v>459</v>
      </c>
      <c r="C15" s="4" t="s">
        <v>18</v>
      </c>
      <c r="D15" s="47" t="s">
        <v>93</v>
      </c>
      <c r="E15" s="4" t="s">
        <v>49</v>
      </c>
      <c r="F15" s="9">
        <v>1.3</v>
      </c>
      <c r="G15" s="10">
        <v>2014</v>
      </c>
      <c r="I15" s="16">
        <f aca="true" t="shared" si="2" ref="I15:M24">+IF($G15&gt;=I$3,$F15,0)</f>
        <v>1.3</v>
      </c>
      <c r="J15" s="16">
        <f t="shared" si="2"/>
        <v>1.3</v>
      </c>
      <c r="K15" s="16">
        <f t="shared" si="2"/>
        <v>1.3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3" t="s">
        <v>272</v>
      </c>
      <c r="C16" s="4" t="s">
        <v>19</v>
      </c>
      <c r="D16" s="4" t="s">
        <v>23</v>
      </c>
      <c r="E16" s="4" t="s">
        <v>49</v>
      </c>
      <c r="F16" s="18">
        <v>5.9</v>
      </c>
      <c r="G16" s="4">
        <v>2013</v>
      </c>
      <c r="I16" s="16">
        <f t="shared" si="2"/>
        <v>5.9</v>
      </c>
      <c r="J16" s="16">
        <f t="shared" si="2"/>
        <v>5.9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3" t="s">
        <v>109</v>
      </c>
      <c r="C17" s="4" t="s">
        <v>19</v>
      </c>
      <c r="D17" s="47" t="s">
        <v>29</v>
      </c>
      <c r="E17" s="13" t="s">
        <v>49</v>
      </c>
      <c r="F17" s="9">
        <v>4.1</v>
      </c>
      <c r="G17" s="10">
        <v>2013</v>
      </c>
      <c r="I17" s="16">
        <f t="shared" si="2"/>
        <v>4.1</v>
      </c>
      <c r="J17" s="16">
        <f t="shared" si="2"/>
        <v>4.1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46" t="s">
        <v>421</v>
      </c>
      <c r="C18" s="4" t="s">
        <v>17</v>
      </c>
      <c r="D18" s="4" t="s">
        <v>32</v>
      </c>
      <c r="E18" s="13" t="s">
        <v>49</v>
      </c>
      <c r="F18" s="14">
        <v>7.3</v>
      </c>
      <c r="G18" s="1">
        <v>2012</v>
      </c>
      <c r="I18" s="16">
        <f t="shared" si="2"/>
        <v>7.3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21" t="s">
        <v>310</v>
      </c>
      <c r="C19" s="4" t="s">
        <v>17</v>
      </c>
      <c r="D19" s="4" t="s">
        <v>34</v>
      </c>
      <c r="E19" s="13" t="s">
        <v>49</v>
      </c>
      <c r="F19" s="14">
        <v>4.5</v>
      </c>
      <c r="G19" s="1">
        <v>2012</v>
      </c>
      <c r="I19" s="16">
        <f t="shared" si="2"/>
        <v>4.5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21" t="s">
        <v>163</v>
      </c>
      <c r="C20" s="4" t="s">
        <v>26</v>
      </c>
      <c r="D20" s="47" t="s">
        <v>16</v>
      </c>
      <c r="E20" s="13" t="s">
        <v>49</v>
      </c>
      <c r="F20" s="14">
        <v>3.8</v>
      </c>
      <c r="G20" s="1">
        <v>2012</v>
      </c>
      <c r="I20" s="16">
        <f t="shared" si="2"/>
        <v>3.8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45" t="s">
        <v>500</v>
      </c>
      <c r="C21" s="4" t="s">
        <v>38</v>
      </c>
      <c r="D21" s="4" t="s">
        <v>22</v>
      </c>
      <c r="E21" s="13" t="s">
        <v>49</v>
      </c>
      <c r="F21" s="14">
        <v>3.45</v>
      </c>
      <c r="G21" s="1">
        <v>2012</v>
      </c>
      <c r="I21" s="16">
        <f t="shared" si="2"/>
        <v>3.45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46" t="s">
        <v>420</v>
      </c>
      <c r="C22" s="4" t="s">
        <v>17</v>
      </c>
      <c r="D22" s="4" t="s">
        <v>46</v>
      </c>
      <c r="E22" s="13" t="s">
        <v>49</v>
      </c>
      <c r="F22" s="14">
        <v>2.95</v>
      </c>
      <c r="G22" s="2">
        <v>2012</v>
      </c>
      <c r="I22" s="16">
        <f t="shared" si="2"/>
        <v>2.95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3" t="s">
        <v>271</v>
      </c>
      <c r="C23" s="4" t="s">
        <v>38</v>
      </c>
      <c r="D23" s="4" t="s">
        <v>32</v>
      </c>
      <c r="E23" s="13" t="s">
        <v>49</v>
      </c>
      <c r="F23" s="14">
        <v>1.95</v>
      </c>
      <c r="G23" s="1">
        <v>2012</v>
      </c>
      <c r="I23" s="16">
        <f t="shared" si="2"/>
        <v>1.95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50" t="s">
        <v>239</v>
      </c>
      <c r="C24" s="4" t="s">
        <v>17</v>
      </c>
      <c r="D24" s="4" t="s">
        <v>23</v>
      </c>
      <c r="E24" s="13" t="s">
        <v>49</v>
      </c>
      <c r="F24" s="14">
        <v>1.3</v>
      </c>
      <c r="G24" s="1">
        <v>2012</v>
      </c>
      <c r="I24" s="16">
        <f t="shared" si="2"/>
        <v>1.3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26" t="s">
        <v>688</v>
      </c>
      <c r="C25" s="4" t="s">
        <v>38</v>
      </c>
      <c r="D25" s="47" t="s">
        <v>47</v>
      </c>
      <c r="E25" s="13" t="s">
        <v>49</v>
      </c>
      <c r="F25" s="14">
        <v>1.3</v>
      </c>
      <c r="G25" s="1">
        <v>2012</v>
      </c>
      <c r="I25" s="16">
        <f aca="true" t="shared" si="3" ref="I25:M32">+IF($G25&gt;=I$3,$F25,0)</f>
        <v>1.3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6" t="s">
        <v>694</v>
      </c>
      <c r="C26" s="47" t="s">
        <v>38</v>
      </c>
      <c r="D26" s="47" t="s">
        <v>24</v>
      </c>
      <c r="E26" s="13" t="s">
        <v>49</v>
      </c>
      <c r="F26" s="24">
        <v>1.3</v>
      </c>
      <c r="G26" s="25">
        <v>2012</v>
      </c>
      <c r="I26" s="16">
        <f t="shared" si="3"/>
        <v>1.3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26" t="s">
        <v>737</v>
      </c>
      <c r="C27" s="4" t="s">
        <v>18</v>
      </c>
      <c r="D27" s="4" t="s">
        <v>16</v>
      </c>
      <c r="E27" s="13" t="s">
        <v>49</v>
      </c>
      <c r="F27" s="14">
        <v>1.3</v>
      </c>
      <c r="G27" s="1">
        <v>2012</v>
      </c>
      <c r="I27" s="16">
        <f t="shared" si="3"/>
        <v>1.3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3" t="s">
        <v>738</v>
      </c>
      <c r="C28" s="4" t="s">
        <v>31</v>
      </c>
      <c r="D28" s="4" t="s">
        <v>32</v>
      </c>
      <c r="E28" s="13" t="s">
        <v>49</v>
      </c>
      <c r="F28" s="18">
        <v>1.3</v>
      </c>
      <c r="G28" s="4">
        <v>2012</v>
      </c>
      <c r="I28" s="16">
        <f t="shared" si="3"/>
        <v>1.3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26" t="s">
        <v>746</v>
      </c>
      <c r="C29" s="4" t="s">
        <v>26</v>
      </c>
      <c r="D29" s="4" t="s">
        <v>43</v>
      </c>
      <c r="E29" s="13" t="s">
        <v>49</v>
      </c>
      <c r="F29" s="14">
        <v>1.3</v>
      </c>
      <c r="G29" s="1">
        <v>2012</v>
      </c>
      <c r="I29" s="16">
        <f t="shared" si="3"/>
        <v>1.3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26" t="s">
        <v>747</v>
      </c>
      <c r="C30" s="4" t="s">
        <v>17</v>
      </c>
      <c r="D30" s="4" t="s">
        <v>101</v>
      </c>
      <c r="E30" s="13" t="s">
        <v>49</v>
      </c>
      <c r="F30" s="14">
        <v>1.3</v>
      </c>
      <c r="G30" s="2">
        <v>2012</v>
      </c>
      <c r="I30" s="16">
        <f t="shared" si="3"/>
        <v>1.3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3" t="s">
        <v>748</v>
      </c>
      <c r="C31" s="4" t="s">
        <v>38</v>
      </c>
      <c r="D31" s="4" t="s">
        <v>39</v>
      </c>
      <c r="E31" s="13" t="s">
        <v>49</v>
      </c>
      <c r="F31" s="14">
        <v>1.3</v>
      </c>
      <c r="G31" s="1">
        <v>2012</v>
      </c>
      <c r="I31" s="16">
        <f t="shared" si="3"/>
        <v>1.3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34" t="s">
        <v>749</v>
      </c>
      <c r="C32" s="4" t="s">
        <v>17</v>
      </c>
      <c r="D32" s="4" t="s">
        <v>93</v>
      </c>
      <c r="E32" s="13" t="s">
        <v>49</v>
      </c>
      <c r="F32" s="14">
        <v>1.3</v>
      </c>
      <c r="G32" s="1">
        <v>2012</v>
      </c>
      <c r="I32" s="16">
        <f t="shared" si="3"/>
        <v>1.3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105.04999999999997</v>
      </c>
      <c r="J34" s="17">
        <f>+SUM(J5:J32)</f>
        <v>69.39999999999999</v>
      </c>
      <c r="K34" s="17">
        <f>+SUM(K5:K32)</f>
        <v>59.4</v>
      </c>
      <c r="L34" s="17">
        <f>+SUM(L5:L32)</f>
        <v>24.199999999999996</v>
      </c>
      <c r="M34" s="17">
        <f>+SUM(M5:M32)</f>
        <v>9.35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379</v>
      </c>
      <c r="C40" s="4" t="s">
        <v>19</v>
      </c>
      <c r="D40" s="4" t="s">
        <v>28</v>
      </c>
      <c r="E40" s="13" t="s">
        <v>81</v>
      </c>
      <c r="F40" s="14">
        <v>1.1</v>
      </c>
      <c r="G40" s="1">
        <v>2014</v>
      </c>
      <c r="I40" s="16">
        <f aca="true" t="shared" si="4" ref="I40:I46">+CEILING(IF($I$38&lt;=G40,F40*0.3,0),0.05)</f>
        <v>0.35000000000000003</v>
      </c>
      <c r="J40" s="16">
        <f aca="true" t="shared" si="5" ref="J40:J46">+CEILING(IF($J$38&lt;=G40,F40*0.3,0),0.05)</f>
        <v>0.35000000000000003</v>
      </c>
      <c r="K40" s="16">
        <f aca="true" t="shared" si="6" ref="K40:K46">+CEILING(IF($K$38&lt;=G40,F40*0.3,0),0.05)</f>
        <v>0.35000000000000003</v>
      </c>
      <c r="L40" s="16">
        <f aca="true" t="shared" si="7" ref="L40:L46">+CEILING(IF($L$38&lt;=G40,F40*0.3,0),0.05)</f>
        <v>0</v>
      </c>
      <c r="M40" s="16">
        <f aca="true" t="shared" si="8" ref="M40:M46">+CEILING(IF($M$38&lt;=G40,F40*0.3,0),0.05)</f>
        <v>0</v>
      </c>
    </row>
    <row r="41" spans="1:13" ht="12.75">
      <c r="A41" s="8">
        <v>2</v>
      </c>
      <c r="B41" s="21" t="s">
        <v>287</v>
      </c>
      <c r="C41" s="4" t="s">
        <v>18</v>
      </c>
      <c r="D41" s="4" t="s">
        <v>47</v>
      </c>
      <c r="E41" s="13" t="s">
        <v>81</v>
      </c>
      <c r="F41" s="14">
        <v>6.2</v>
      </c>
      <c r="G41" s="1">
        <v>2013</v>
      </c>
      <c r="I41" s="16">
        <f t="shared" si="4"/>
        <v>1.9000000000000001</v>
      </c>
      <c r="J41" s="16">
        <f t="shared" si="5"/>
        <v>1.9000000000000001</v>
      </c>
      <c r="K41" s="16">
        <f t="shared" si="6"/>
        <v>0</v>
      </c>
      <c r="L41" s="16">
        <f t="shared" si="7"/>
        <v>0</v>
      </c>
      <c r="M41" s="16">
        <f t="shared" si="8"/>
        <v>0</v>
      </c>
    </row>
    <row r="42" spans="1:13" ht="12.75">
      <c r="A42" s="8">
        <v>3</v>
      </c>
      <c r="B42" s="21" t="s">
        <v>186</v>
      </c>
      <c r="C42" s="4" t="s">
        <v>17</v>
      </c>
      <c r="D42" s="4" t="s">
        <v>37</v>
      </c>
      <c r="E42" s="4" t="s">
        <v>81</v>
      </c>
      <c r="F42" s="16">
        <v>0.9</v>
      </c>
      <c r="G42" s="13">
        <v>2012</v>
      </c>
      <c r="I42" s="16">
        <f t="shared" si="4"/>
        <v>0.30000000000000004</v>
      </c>
      <c r="J42" s="16">
        <f t="shared" si="5"/>
        <v>0</v>
      </c>
      <c r="K42" s="16">
        <f t="shared" si="6"/>
        <v>0</v>
      </c>
      <c r="L42" s="16">
        <f t="shared" si="7"/>
        <v>0</v>
      </c>
      <c r="M42" s="16">
        <f t="shared" si="8"/>
        <v>0</v>
      </c>
    </row>
    <row r="43" spans="1:13" ht="12.75">
      <c r="A43" s="8">
        <v>4</v>
      </c>
      <c r="B43" s="21" t="s">
        <v>189</v>
      </c>
      <c r="C43" s="4" t="s">
        <v>17</v>
      </c>
      <c r="D43" s="4" t="s">
        <v>40</v>
      </c>
      <c r="E43" s="4" t="s">
        <v>81</v>
      </c>
      <c r="F43" s="16">
        <v>0.9</v>
      </c>
      <c r="G43" s="13">
        <v>2012</v>
      </c>
      <c r="I43" s="16">
        <f t="shared" si="4"/>
        <v>0.30000000000000004</v>
      </c>
      <c r="J43" s="16">
        <f t="shared" si="5"/>
        <v>0</v>
      </c>
      <c r="K43" s="16">
        <f t="shared" si="6"/>
        <v>0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21"/>
      <c r="D44" s="4"/>
      <c r="E44" s="4"/>
      <c r="F44" s="16"/>
      <c r="G44" s="13"/>
      <c r="I44" s="16">
        <f t="shared" si="4"/>
        <v>0</v>
      </c>
      <c r="J44" s="16">
        <f t="shared" si="5"/>
        <v>0</v>
      </c>
      <c r="K44" s="16">
        <f t="shared" si="6"/>
        <v>0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34"/>
      <c r="D45" s="4"/>
      <c r="E45" s="13"/>
      <c r="F45" s="14"/>
      <c r="G45" s="1"/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82</v>
      </c>
      <c r="B46" s="21"/>
      <c r="C46" s="22" t="s">
        <v>100</v>
      </c>
      <c r="D46" s="22" t="s">
        <v>100</v>
      </c>
      <c r="E46" s="28" t="s">
        <v>100</v>
      </c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2.8499999999999996</v>
      </c>
      <c r="J48" s="12">
        <f>+SUM(J40:J47)</f>
        <v>2.25</v>
      </c>
      <c r="K48" s="12">
        <f>+SUM(K40:K47)</f>
        <v>0.35000000000000003</v>
      </c>
      <c r="L48" s="12">
        <f>+SUM(L40:L47)</f>
        <v>0</v>
      </c>
      <c r="M48" s="12">
        <f>+SUM(M40:M47)</f>
        <v>0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6" t="s">
        <v>258</v>
      </c>
      <c r="C54" s="4" t="s">
        <v>17</v>
      </c>
      <c r="D54" s="4" t="s">
        <v>48</v>
      </c>
      <c r="E54" s="13">
        <v>2010</v>
      </c>
      <c r="F54" s="14">
        <v>1</v>
      </c>
      <c r="G54" s="1">
        <v>2013</v>
      </c>
      <c r="I54" s="16">
        <f aca="true" t="shared" si="9" ref="I54:I63">+CEILING(IF($I$52=E54,F54,IF($I$52&lt;=G54,F54*0.3,0)),0.05)</f>
        <v>0.30000000000000004</v>
      </c>
      <c r="J54" s="16">
        <f aca="true" t="shared" si="10" ref="J54:J63">+CEILING(IF($J$52&lt;=G54,F54*0.3,0),0.05)</f>
        <v>0.30000000000000004</v>
      </c>
      <c r="K54" s="16">
        <f aca="true" t="shared" si="11" ref="K54:K63">+CEILING(IF($K$52&lt;=G54,F54*0.3,0),0.05)</f>
        <v>0</v>
      </c>
      <c r="L54" s="16">
        <f aca="true" t="shared" si="12" ref="L54:L63">+CEILING(IF($L$52&lt;=G54,F54*0.3,0),0.05)</f>
        <v>0</v>
      </c>
      <c r="M54" s="16">
        <f aca="true" t="shared" si="13" ref="M54:M63">CEILING(IF($M$52&lt;=G54,F54*0.3,0),0.05)</f>
        <v>0</v>
      </c>
    </row>
    <row r="55" spans="1:13" ht="12.75">
      <c r="A55" s="8">
        <v>2</v>
      </c>
      <c r="B55" s="21" t="s">
        <v>143</v>
      </c>
      <c r="C55" s="4" t="s">
        <v>19</v>
      </c>
      <c r="D55" s="4" t="s">
        <v>29</v>
      </c>
      <c r="E55" s="13">
        <v>2010</v>
      </c>
      <c r="F55" s="14">
        <v>9.15</v>
      </c>
      <c r="G55" s="1">
        <v>2012</v>
      </c>
      <c r="I55" s="16">
        <f t="shared" si="9"/>
        <v>2.75</v>
      </c>
      <c r="J55" s="16">
        <f t="shared" si="10"/>
        <v>0</v>
      </c>
      <c r="K55" s="16">
        <f t="shared" si="11"/>
        <v>0</v>
      </c>
      <c r="L55" s="16">
        <f t="shared" si="12"/>
        <v>0</v>
      </c>
      <c r="M55" s="16">
        <f t="shared" si="13"/>
        <v>0</v>
      </c>
    </row>
    <row r="56" spans="1:13" ht="12.75">
      <c r="A56" s="8">
        <v>3</v>
      </c>
      <c r="B56" s="3" t="s">
        <v>336</v>
      </c>
      <c r="C56" s="4" t="s">
        <v>31</v>
      </c>
      <c r="D56" s="4" t="s">
        <v>16</v>
      </c>
      <c r="E56" s="13">
        <v>2010</v>
      </c>
      <c r="F56" s="14">
        <v>7.85</v>
      </c>
      <c r="G56" s="1">
        <v>2012</v>
      </c>
      <c r="I56" s="16">
        <f t="shared" si="9"/>
        <v>2.4000000000000004</v>
      </c>
      <c r="J56" s="16">
        <f t="shared" si="10"/>
        <v>0</v>
      </c>
      <c r="K56" s="16">
        <f t="shared" si="11"/>
        <v>0</v>
      </c>
      <c r="L56" s="16">
        <f t="shared" si="12"/>
        <v>0</v>
      </c>
      <c r="M56" s="16">
        <f t="shared" si="13"/>
        <v>0</v>
      </c>
    </row>
    <row r="57" spans="1:13" ht="12.75">
      <c r="A57" s="8">
        <v>4</v>
      </c>
      <c r="B57" s="50" t="s">
        <v>429</v>
      </c>
      <c r="C57" s="4" t="s">
        <v>19</v>
      </c>
      <c r="D57" s="4" t="s">
        <v>56</v>
      </c>
      <c r="E57" s="13">
        <v>2012</v>
      </c>
      <c r="F57" s="14">
        <v>2.15</v>
      </c>
      <c r="G57" s="1">
        <v>2012</v>
      </c>
      <c r="I57" s="16">
        <f t="shared" si="9"/>
        <v>2.15</v>
      </c>
      <c r="J57" s="16">
        <f t="shared" si="10"/>
        <v>0</v>
      </c>
      <c r="K57" s="16">
        <f t="shared" si="11"/>
        <v>0</v>
      </c>
      <c r="L57" s="16">
        <f t="shared" si="12"/>
        <v>0</v>
      </c>
      <c r="M57" s="16">
        <f t="shared" si="13"/>
        <v>0</v>
      </c>
    </row>
    <row r="58" spans="1:13" ht="12.75">
      <c r="A58" s="8">
        <v>5</v>
      </c>
      <c r="B58" s="21" t="s">
        <v>190</v>
      </c>
      <c r="C58" s="4" t="s">
        <v>17</v>
      </c>
      <c r="D58" s="4" t="s">
        <v>27</v>
      </c>
      <c r="E58" s="13">
        <v>2008</v>
      </c>
      <c r="F58" s="14">
        <v>0.9</v>
      </c>
      <c r="G58" s="1">
        <v>2012</v>
      </c>
      <c r="I58" s="16">
        <f t="shared" si="9"/>
        <v>0.30000000000000004</v>
      </c>
      <c r="J58" s="16">
        <f t="shared" si="10"/>
        <v>0</v>
      </c>
      <c r="K58" s="16">
        <f t="shared" si="11"/>
        <v>0</v>
      </c>
      <c r="L58" s="16">
        <f t="shared" si="12"/>
        <v>0</v>
      </c>
      <c r="M58" s="16">
        <f t="shared" si="13"/>
        <v>0</v>
      </c>
    </row>
    <row r="59" spans="1:13" ht="12.75">
      <c r="A59" s="8">
        <v>6</v>
      </c>
      <c r="B59" s="21" t="s">
        <v>204</v>
      </c>
      <c r="C59" s="4" t="s">
        <v>17</v>
      </c>
      <c r="D59" s="22" t="s">
        <v>100</v>
      </c>
      <c r="E59" s="13">
        <v>2010</v>
      </c>
      <c r="F59" s="14">
        <v>0.9</v>
      </c>
      <c r="G59" s="1">
        <v>2012</v>
      </c>
      <c r="I59" s="16">
        <f t="shared" si="9"/>
        <v>0.30000000000000004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13"/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 t="shared" si="9"/>
        <v>0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13"/>
        <v>0</v>
      </c>
    </row>
    <row r="61" spans="1:13" ht="12.75">
      <c r="A61" s="8">
        <v>8</v>
      </c>
      <c r="D61" s="4"/>
      <c r="E61" s="13"/>
      <c r="F61" s="14"/>
      <c r="G61" s="1"/>
      <c r="I61" s="16">
        <f t="shared" si="9"/>
        <v>0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13"/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9"/>
        <v>0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13"/>
        <v>0</v>
      </c>
    </row>
    <row r="63" spans="1:13" ht="12.75">
      <c r="A63" s="8">
        <v>10</v>
      </c>
      <c r="B63" s="26"/>
      <c r="D63" s="4"/>
      <c r="E63" s="13"/>
      <c r="F63" s="14"/>
      <c r="G63" s="1"/>
      <c r="I63" s="16">
        <f t="shared" si="9"/>
        <v>0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13"/>
        <v>0</v>
      </c>
    </row>
    <row r="64" spans="1:13" ht="12.75">
      <c r="A64" s="8">
        <v>11</v>
      </c>
      <c r="B64" s="21"/>
      <c r="D64" s="22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>+CEILING(IF($I$52=E66,F66,IF($I$52&lt;=G66,F66*0.3,0)),0.05)</f>
        <v>0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21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8.2</v>
      </c>
      <c r="J70" s="17">
        <f>+SUM(J54:J69)</f>
        <v>0.30000000000000004</v>
      </c>
      <c r="K70" s="17">
        <f>+SUM(K54:K69)</f>
        <v>0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104" t="s">
        <v>52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55</v>
      </c>
      <c r="C74" s="6"/>
      <c r="D74" s="6"/>
      <c r="E74" s="6"/>
      <c r="F74" s="6" t="s">
        <v>54</v>
      </c>
      <c r="G74" s="6" t="s">
        <v>53</v>
      </c>
      <c r="I74" s="7">
        <f>+I$3</f>
        <v>2012</v>
      </c>
      <c r="J74" s="7">
        <f>+J$3</f>
        <v>2013</v>
      </c>
      <c r="K74" s="7">
        <f>+K$3</f>
        <v>2014</v>
      </c>
      <c r="L74" s="7">
        <f>+L$3</f>
        <v>2015</v>
      </c>
      <c r="M74" s="7">
        <f>+M$3</f>
        <v>2016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102"/>
      <c r="C76" s="102"/>
      <c r="D76" s="102"/>
      <c r="E76" s="102"/>
      <c r="F76" s="14"/>
      <c r="G76" s="1"/>
      <c r="I76" s="29">
        <f>+F76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2</v>
      </c>
      <c r="B77" s="102"/>
      <c r="C77" s="102"/>
      <c r="D77" s="102"/>
      <c r="E77" s="102"/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5" t="s">
        <v>577</v>
      </c>
      <c r="C5" s="4" t="s">
        <v>17</v>
      </c>
      <c r="D5" s="47" t="s">
        <v>34</v>
      </c>
      <c r="E5" s="13" t="s">
        <v>49</v>
      </c>
      <c r="F5" s="14">
        <v>12.95</v>
      </c>
      <c r="G5" s="1">
        <v>2016</v>
      </c>
      <c r="I5" s="16">
        <f aca="true" t="shared" si="0" ref="I5:M14">+IF($G5&gt;=I$3,$F5,0)</f>
        <v>12.95</v>
      </c>
      <c r="J5" s="16">
        <f t="shared" si="0"/>
        <v>12.95</v>
      </c>
      <c r="K5" s="16">
        <f t="shared" si="0"/>
        <v>12.95</v>
      </c>
      <c r="L5" s="16">
        <f t="shared" si="0"/>
        <v>12.95</v>
      </c>
      <c r="M5" s="16">
        <f t="shared" si="0"/>
        <v>12.95</v>
      </c>
    </row>
    <row r="6" spans="1:13" ht="12.75">
      <c r="A6" s="8">
        <v>2</v>
      </c>
      <c r="B6" s="51" t="s">
        <v>573</v>
      </c>
      <c r="C6" s="4" t="s">
        <v>17</v>
      </c>
      <c r="D6" s="4" t="s">
        <v>57</v>
      </c>
      <c r="E6" s="13" t="s">
        <v>49</v>
      </c>
      <c r="F6" s="14">
        <v>12</v>
      </c>
      <c r="G6" s="1">
        <v>2016</v>
      </c>
      <c r="I6" s="16">
        <f t="shared" si="0"/>
        <v>12</v>
      </c>
      <c r="J6" s="16">
        <f t="shared" si="0"/>
        <v>12</v>
      </c>
      <c r="K6" s="16">
        <f t="shared" si="0"/>
        <v>12</v>
      </c>
      <c r="L6" s="16">
        <f t="shared" si="0"/>
        <v>12</v>
      </c>
      <c r="M6" s="16">
        <f t="shared" si="0"/>
        <v>12</v>
      </c>
    </row>
    <row r="7" spans="1:13" ht="12.75">
      <c r="A7" s="8">
        <v>3</v>
      </c>
      <c r="B7" s="45" t="s">
        <v>626</v>
      </c>
      <c r="C7" s="4" t="s">
        <v>18</v>
      </c>
      <c r="D7" s="47" t="s">
        <v>37</v>
      </c>
      <c r="E7" s="13" t="s">
        <v>49</v>
      </c>
      <c r="F7" s="14">
        <v>5.4</v>
      </c>
      <c r="G7" s="1">
        <v>2016</v>
      </c>
      <c r="I7" s="16">
        <f t="shared" si="0"/>
        <v>5.4</v>
      </c>
      <c r="J7" s="16">
        <f t="shared" si="0"/>
        <v>5.4</v>
      </c>
      <c r="K7" s="16">
        <f t="shared" si="0"/>
        <v>5.4</v>
      </c>
      <c r="L7" s="16">
        <f t="shared" si="0"/>
        <v>5.4</v>
      </c>
      <c r="M7" s="16">
        <f t="shared" si="0"/>
        <v>5.4</v>
      </c>
    </row>
    <row r="8" spans="1:13" ht="12.75">
      <c r="A8" s="8">
        <v>4</v>
      </c>
      <c r="B8" s="3" t="s">
        <v>631</v>
      </c>
      <c r="C8" s="47" t="s">
        <v>41</v>
      </c>
      <c r="D8" s="47" t="s">
        <v>25</v>
      </c>
      <c r="E8" s="13" t="s">
        <v>49</v>
      </c>
      <c r="F8" s="14">
        <v>3.8</v>
      </c>
      <c r="G8" s="10">
        <v>2016</v>
      </c>
      <c r="I8" s="16">
        <f t="shared" si="0"/>
        <v>3.8</v>
      </c>
      <c r="J8" s="16">
        <f t="shared" si="0"/>
        <v>3.8</v>
      </c>
      <c r="K8" s="16">
        <f t="shared" si="0"/>
        <v>3.8</v>
      </c>
      <c r="L8" s="16">
        <f t="shared" si="0"/>
        <v>3.8</v>
      </c>
      <c r="M8" s="16">
        <f t="shared" si="0"/>
        <v>3.8</v>
      </c>
    </row>
    <row r="9" spans="1:13" ht="12.75">
      <c r="A9" s="8">
        <v>5</v>
      </c>
      <c r="B9" s="45" t="s">
        <v>635</v>
      </c>
      <c r="C9" s="4" t="s">
        <v>38</v>
      </c>
      <c r="D9" s="47" t="s">
        <v>16</v>
      </c>
      <c r="E9" s="13" t="s">
        <v>49</v>
      </c>
      <c r="F9" s="14">
        <v>2.7</v>
      </c>
      <c r="G9" s="1">
        <v>2016</v>
      </c>
      <c r="I9" s="16">
        <f t="shared" si="0"/>
        <v>2.7</v>
      </c>
      <c r="J9" s="16">
        <f t="shared" si="0"/>
        <v>2.7</v>
      </c>
      <c r="K9" s="16">
        <f t="shared" si="0"/>
        <v>2.7</v>
      </c>
      <c r="L9" s="16">
        <f t="shared" si="0"/>
        <v>2.7</v>
      </c>
      <c r="M9" s="16">
        <f t="shared" si="0"/>
        <v>2.7</v>
      </c>
    </row>
    <row r="10" spans="1:13" ht="12.75">
      <c r="A10" s="8">
        <v>6</v>
      </c>
      <c r="B10" s="45" t="s">
        <v>460</v>
      </c>
      <c r="C10" s="4" t="s">
        <v>17</v>
      </c>
      <c r="D10" s="4" t="s">
        <v>37</v>
      </c>
      <c r="E10" s="13" t="s">
        <v>49</v>
      </c>
      <c r="F10" s="9">
        <v>6.35</v>
      </c>
      <c r="G10" s="10">
        <v>2015</v>
      </c>
      <c r="I10" s="16">
        <f t="shared" si="0"/>
        <v>6.35</v>
      </c>
      <c r="J10" s="16">
        <f t="shared" si="0"/>
        <v>6.35</v>
      </c>
      <c r="K10" s="16">
        <f t="shared" si="0"/>
        <v>6.35</v>
      </c>
      <c r="L10" s="16">
        <f t="shared" si="0"/>
        <v>6.35</v>
      </c>
      <c r="M10" s="16">
        <f t="shared" si="0"/>
        <v>0</v>
      </c>
    </row>
    <row r="11" spans="1:13" ht="12.75">
      <c r="A11" s="8">
        <v>7</v>
      </c>
      <c r="B11" s="45" t="s">
        <v>462</v>
      </c>
      <c r="C11" s="4" t="s">
        <v>38</v>
      </c>
      <c r="D11" s="47" t="s">
        <v>482</v>
      </c>
      <c r="E11" s="13" t="s">
        <v>49</v>
      </c>
      <c r="F11" s="14">
        <v>5.15</v>
      </c>
      <c r="G11" s="1">
        <v>2015</v>
      </c>
      <c r="I11" s="16">
        <f t="shared" si="0"/>
        <v>5.15</v>
      </c>
      <c r="J11" s="16">
        <f t="shared" si="0"/>
        <v>5.15</v>
      </c>
      <c r="K11" s="16">
        <f t="shared" si="0"/>
        <v>5.15</v>
      </c>
      <c r="L11" s="16">
        <f t="shared" si="0"/>
        <v>5.15</v>
      </c>
      <c r="M11" s="16">
        <f t="shared" si="0"/>
        <v>0</v>
      </c>
    </row>
    <row r="12" spans="1:13" ht="12.75">
      <c r="A12" s="8">
        <v>8</v>
      </c>
      <c r="B12" s="45" t="s">
        <v>466</v>
      </c>
      <c r="C12" s="13" t="s">
        <v>19</v>
      </c>
      <c r="D12" s="48" t="s">
        <v>45</v>
      </c>
      <c r="E12" s="13" t="s">
        <v>49</v>
      </c>
      <c r="F12" s="14">
        <v>4.35</v>
      </c>
      <c r="G12" s="1">
        <v>2015</v>
      </c>
      <c r="I12" s="16">
        <f t="shared" si="0"/>
        <v>4.35</v>
      </c>
      <c r="J12" s="16">
        <f t="shared" si="0"/>
        <v>4.35</v>
      </c>
      <c r="K12" s="16">
        <f t="shared" si="0"/>
        <v>4.35</v>
      </c>
      <c r="L12" s="16">
        <f t="shared" si="0"/>
        <v>4.35</v>
      </c>
      <c r="M12" s="16">
        <f t="shared" si="0"/>
        <v>0</v>
      </c>
    </row>
    <row r="13" spans="1:13" ht="12.75">
      <c r="A13" s="8">
        <v>9</v>
      </c>
      <c r="B13" s="45" t="s">
        <v>461</v>
      </c>
      <c r="C13" s="47" t="s">
        <v>17</v>
      </c>
      <c r="D13" s="47" t="s">
        <v>40</v>
      </c>
      <c r="E13" s="13" t="s">
        <v>49</v>
      </c>
      <c r="F13" s="14">
        <v>3</v>
      </c>
      <c r="G13" s="1">
        <v>2015</v>
      </c>
      <c r="I13" s="16">
        <f t="shared" si="0"/>
        <v>3</v>
      </c>
      <c r="J13" s="16">
        <f t="shared" si="0"/>
        <v>3</v>
      </c>
      <c r="K13" s="16">
        <f t="shared" si="0"/>
        <v>3</v>
      </c>
      <c r="L13" s="16">
        <f t="shared" si="0"/>
        <v>3</v>
      </c>
      <c r="M13" s="16">
        <f t="shared" si="0"/>
        <v>0</v>
      </c>
    </row>
    <row r="14" spans="1:13" ht="12.75">
      <c r="A14" s="8">
        <v>10</v>
      </c>
      <c r="B14" s="45" t="s">
        <v>520</v>
      </c>
      <c r="C14" s="4" t="s">
        <v>15</v>
      </c>
      <c r="D14" s="4" t="s">
        <v>30</v>
      </c>
      <c r="E14" s="13" t="s">
        <v>49</v>
      </c>
      <c r="F14" s="14">
        <v>2.5</v>
      </c>
      <c r="G14" s="1">
        <v>2015</v>
      </c>
      <c r="I14" s="16">
        <f t="shared" si="0"/>
        <v>2.5</v>
      </c>
      <c r="J14" s="16">
        <f t="shared" si="0"/>
        <v>2.5</v>
      </c>
      <c r="K14" s="16">
        <f t="shared" si="0"/>
        <v>2.5</v>
      </c>
      <c r="L14" s="16">
        <f t="shared" si="0"/>
        <v>2.5</v>
      </c>
      <c r="M14" s="16">
        <f t="shared" si="0"/>
        <v>0</v>
      </c>
    </row>
    <row r="15" spans="1:13" ht="12.75">
      <c r="A15" s="8">
        <v>11</v>
      </c>
      <c r="B15" s="45" t="s">
        <v>464</v>
      </c>
      <c r="C15" s="47" t="s">
        <v>17</v>
      </c>
      <c r="D15" s="47" t="s">
        <v>22</v>
      </c>
      <c r="E15" s="13" t="s">
        <v>49</v>
      </c>
      <c r="F15" s="14">
        <v>2.05</v>
      </c>
      <c r="G15" s="1">
        <v>2015</v>
      </c>
      <c r="I15" s="16">
        <f aca="true" t="shared" si="1" ref="I15:M24">+IF($G15&gt;=I$3,$F15,0)</f>
        <v>2.05</v>
      </c>
      <c r="J15" s="16">
        <f t="shared" si="1"/>
        <v>2.05</v>
      </c>
      <c r="K15" s="16">
        <f t="shared" si="1"/>
        <v>2.05</v>
      </c>
      <c r="L15" s="16">
        <f t="shared" si="1"/>
        <v>2.05</v>
      </c>
      <c r="M15" s="16">
        <f t="shared" si="1"/>
        <v>0</v>
      </c>
    </row>
    <row r="16" spans="1:13" ht="12.75">
      <c r="A16" s="8">
        <v>12</v>
      </c>
      <c r="B16" s="45" t="s">
        <v>412</v>
      </c>
      <c r="C16" s="4" t="s">
        <v>19</v>
      </c>
      <c r="D16" s="4" t="s">
        <v>46</v>
      </c>
      <c r="E16" s="13" t="s">
        <v>49</v>
      </c>
      <c r="F16" s="14">
        <v>1.95</v>
      </c>
      <c r="G16" s="1">
        <v>2015</v>
      </c>
      <c r="I16" s="16">
        <f t="shared" si="1"/>
        <v>1.95</v>
      </c>
      <c r="J16" s="16">
        <f t="shared" si="1"/>
        <v>1.95</v>
      </c>
      <c r="K16" s="16">
        <f t="shared" si="1"/>
        <v>1.95</v>
      </c>
      <c r="L16" s="16">
        <f t="shared" si="1"/>
        <v>1.95</v>
      </c>
      <c r="M16" s="16">
        <f t="shared" si="1"/>
        <v>0</v>
      </c>
    </row>
    <row r="17" spans="1:13" ht="12.75">
      <c r="A17" s="8">
        <v>13</v>
      </c>
      <c r="B17" s="45" t="s">
        <v>498</v>
      </c>
      <c r="C17" s="4" t="s">
        <v>17</v>
      </c>
      <c r="D17" s="4" t="s">
        <v>47</v>
      </c>
      <c r="E17" s="13" t="s">
        <v>49</v>
      </c>
      <c r="F17" s="14">
        <v>1.75</v>
      </c>
      <c r="G17" s="1">
        <v>2015</v>
      </c>
      <c r="I17" s="16">
        <f t="shared" si="1"/>
        <v>1.75</v>
      </c>
      <c r="J17" s="16">
        <f t="shared" si="1"/>
        <v>1.75</v>
      </c>
      <c r="K17" s="16">
        <f t="shared" si="1"/>
        <v>1.75</v>
      </c>
      <c r="L17" s="16">
        <f t="shared" si="1"/>
        <v>1.75</v>
      </c>
      <c r="M17" s="16">
        <f t="shared" si="1"/>
        <v>0</v>
      </c>
    </row>
    <row r="18" spans="1:13" ht="12.75">
      <c r="A18" s="8">
        <v>14</v>
      </c>
      <c r="B18" s="21" t="s">
        <v>322</v>
      </c>
      <c r="C18" s="4" t="s">
        <v>41</v>
      </c>
      <c r="D18" s="47" t="s">
        <v>116</v>
      </c>
      <c r="E18" s="13" t="s">
        <v>49</v>
      </c>
      <c r="F18" s="14">
        <v>3.5</v>
      </c>
      <c r="G18" s="1">
        <v>2014</v>
      </c>
      <c r="I18" s="16">
        <f t="shared" si="1"/>
        <v>3.5</v>
      </c>
      <c r="J18" s="16">
        <f t="shared" si="1"/>
        <v>3.5</v>
      </c>
      <c r="K18" s="16">
        <f t="shared" si="1"/>
        <v>3.5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402</v>
      </c>
      <c r="C19" s="4" t="s">
        <v>17</v>
      </c>
      <c r="D19" s="4" t="s">
        <v>23</v>
      </c>
      <c r="E19" s="13" t="s">
        <v>49</v>
      </c>
      <c r="F19" s="14">
        <v>1.3</v>
      </c>
      <c r="G19" s="1">
        <v>2014</v>
      </c>
      <c r="I19" s="16">
        <f t="shared" si="1"/>
        <v>1.3</v>
      </c>
      <c r="J19" s="16">
        <f t="shared" si="1"/>
        <v>1.3</v>
      </c>
      <c r="K19" s="16">
        <f t="shared" si="1"/>
        <v>1.3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401</v>
      </c>
      <c r="C20" s="4" t="s">
        <v>19</v>
      </c>
      <c r="D20" s="47" t="s">
        <v>35</v>
      </c>
      <c r="E20" s="13" t="s">
        <v>49</v>
      </c>
      <c r="F20" s="18">
        <v>1.1</v>
      </c>
      <c r="G20" s="4">
        <v>2014</v>
      </c>
      <c r="I20" s="16">
        <f t="shared" si="1"/>
        <v>1.1</v>
      </c>
      <c r="J20" s="16">
        <f t="shared" si="1"/>
        <v>1.1</v>
      </c>
      <c r="K20" s="16">
        <f t="shared" si="1"/>
        <v>1.1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284</v>
      </c>
      <c r="C21" s="4" t="s">
        <v>17</v>
      </c>
      <c r="D21" s="4" t="s">
        <v>34</v>
      </c>
      <c r="E21" s="4" t="s">
        <v>49</v>
      </c>
      <c r="F21" s="18">
        <v>7.5</v>
      </c>
      <c r="G21" s="4">
        <v>2013</v>
      </c>
      <c r="I21" s="16">
        <f t="shared" si="1"/>
        <v>7.5</v>
      </c>
      <c r="J21" s="16">
        <f t="shared" si="1"/>
        <v>7.5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243</v>
      </c>
      <c r="C22" s="4" t="s">
        <v>19</v>
      </c>
      <c r="D22" s="4" t="s">
        <v>20</v>
      </c>
      <c r="E22" s="13" t="s">
        <v>49</v>
      </c>
      <c r="F22" s="14">
        <v>4.15</v>
      </c>
      <c r="G22" s="1">
        <v>2013</v>
      </c>
      <c r="I22" s="16">
        <f t="shared" si="1"/>
        <v>4.15</v>
      </c>
      <c r="J22" s="16">
        <f t="shared" si="1"/>
        <v>4.15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5" t="s">
        <v>734</v>
      </c>
      <c r="C23" s="4" t="s">
        <v>18</v>
      </c>
      <c r="D23" s="4" t="s">
        <v>20</v>
      </c>
      <c r="E23" s="13" t="s">
        <v>49</v>
      </c>
      <c r="F23" s="14">
        <v>1.3</v>
      </c>
      <c r="G23" s="1">
        <v>2012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298</v>
      </c>
      <c r="C24" s="4" t="s">
        <v>17</v>
      </c>
      <c r="D24" s="47" t="s">
        <v>44</v>
      </c>
      <c r="E24" s="13" t="s">
        <v>49</v>
      </c>
      <c r="F24" s="14">
        <v>6.2</v>
      </c>
      <c r="G24" s="1">
        <v>2012</v>
      </c>
      <c r="I24" s="16">
        <f t="shared" si="1"/>
        <v>6.2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235</v>
      </c>
      <c r="C25" s="4" t="s">
        <v>31</v>
      </c>
      <c r="D25" s="47" t="s">
        <v>34</v>
      </c>
      <c r="E25" s="13" t="s">
        <v>49</v>
      </c>
      <c r="F25" s="18">
        <v>4.2</v>
      </c>
      <c r="G25" s="4">
        <v>2012</v>
      </c>
      <c r="I25" s="16">
        <f aca="true" t="shared" si="2" ref="I25:M32">+IF($G25&gt;=I$3,$F25,0)</f>
        <v>4.2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342</v>
      </c>
      <c r="C26" s="4" t="s">
        <v>38</v>
      </c>
      <c r="D26" s="47" t="s">
        <v>40</v>
      </c>
      <c r="E26" s="13" t="s">
        <v>49</v>
      </c>
      <c r="F26" s="14">
        <v>3.95</v>
      </c>
      <c r="G26" s="1">
        <v>2012</v>
      </c>
      <c r="I26" s="16">
        <f t="shared" si="2"/>
        <v>3.95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15" t="s">
        <v>138</v>
      </c>
      <c r="C27" s="4" t="s">
        <v>26</v>
      </c>
      <c r="D27" s="4" t="s">
        <v>34</v>
      </c>
      <c r="E27" s="13" t="s">
        <v>49</v>
      </c>
      <c r="F27" s="16">
        <v>3.5</v>
      </c>
      <c r="G27" s="13">
        <v>2012</v>
      </c>
      <c r="I27" s="16">
        <f t="shared" si="2"/>
        <v>3.5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6" t="s">
        <v>104</v>
      </c>
      <c r="C28" s="4" t="s">
        <v>17</v>
      </c>
      <c r="D28" s="4" t="s">
        <v>48</v>
      </c>
      <c r="E28" s="13" t="s">
        <v>49</v>
      </c>
      <c r="F28" s="14">
        <v>0.9</v>
      </c>
      <c r="G28" s="1">
        <v>2012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5"/>
      <c r="C29" s="47"/>
      <c r="D29" s="47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5"/>
      <c r="D30" s="47"/>
      <c r="E30" s="13"/>
      <c r="F30" s="9"/>
      <c r="G30" s="10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5"/>
      <c r="D31" s="47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13"/>
      <c r="F32" s="9"/>
      <c r="G32" s="10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101.55000000000001</v>
      </c>
      <c r="J34" s="17">
        <f>+SUM(J5:J32)</f>
        <v>81.5</v>
      </c>
      <c r="K34" s="17">
        <f>+SUM(K5:K32)</f>
        <v>69.85</v>
      </c>
      <c r="L34" s="17">
        <f>+SUM(L5:L32)</f>
        <v>63.95</v>
      </c>
      <c r="M34" s="17">
        <f>+SUM(M5:M32)</f>
        <v>36.85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662</v>
      </c>
      <c r="C40" s="4" t="s">
        <v>19</v>
      </c>
      <c r="D40" s="4" t="s">
        <v>681</v>
      </c>
      <c r="E40" s="4" t="s">
        <v>81</v>
      </c>
      <c r="F40" s="18">
        <v>6.5</v>
      </c>
      <c r="G40" s="4">
        <v>2016</v>
      </c>
      <c r="I40" s="16">
        <f aca="true" t="shared" si="3" ref="I40:I46">+CEILING(IF($I$38&lt;=G40,F40*0.3,0),0.05)</f>
        <v>1.9500000000000002</v>
      </c>
      <c r="J40" s="16">
        <f aca="true" t="shared" si="4" ref="J40:J46">+CEILING(IF($J$38&lt;=G40,F40*0.3,0),0.05)</f>
        <v>1.9500000000000002</v>
      </c>
      <c r="K40" s="16">
        <f aca="true" t="shared" si="5" ref="K40:K46">+CEILING(IF($K$38&lt;=G40,F40*0.3,0),0.05)</f>
        <v>1.9500000000000002</v>
      </c>
      <c r="L40" s="16">
        <f aca="true" t="shared" si="6" ref="L40:L46">+CEILING(IF($L$38&lt;=G40,F40*0.3,0),0.05)</f>
        <v>1.9500000000000002</v>
      </c>
      <c r="M40" s="16">
        <f aca="true" t="shared" si="7" ref="M40:M46">+CEILING(IF($M$38&lt;=G40,F40*0.3,0),0.05)</f>
        <v>1.9500000000000002</v>
      </c>
    </row>
    <row r="41" spans="1:13" ht="12.75">
      <c r="A41" s="8">
        <v>2</v>
      </c>
      <c r="B41" s="45" t="s">
        <v>661</v>
      </c>
      <c r="C41" s="4" t="s">
        <v>15</v>
      </c>
      <c r="D41" s="4" t="s">
        <v>34</v>
      </c>
      <c r="E41" s="13" t="s">
        <v>81</v>
      </c>
      <c r="F41" s="16">
        <v>3.8</v>
      </c>
      <c r="G41" s="13">
        <v>2016</v>
      </c>
      <c r="I41" s="16">
        <f t="shared" si="3"/>
        <v>1.1500000000000001</v>
      </c>
      <c r="J41" s="16">
        <f t="shared" si="4"/>
        <v>1.1500000000000001</v>
      </c>
      <c r="K41" s="16">
        <f t="shared" si="5"/>
        <v>1.1500000000000001</v>
      </c>
      <c r="L41" s="16">
        <f t="shared" si="6"/>
        <v>1.1500000000000001</v>
      </c>
      <c r="M41" s="16">
        <f t="shared" si="7"/>
        <v>1.1500000000000001</v>
      </c>
    </row>
    <row r="42" spans="1:13" ht="12.75">
      <c r="A42" s="8">
        <v>3</v>
      </c>
      <c r="B42" s="26" t="s">
        <v>522</v>
      </c>
      <c r="C42" s="13" t="s">
        <v>26</v>
      </c>
      <c r="D42" s="13" t="s">
        <v>101</v>
      </c>
      <c r="E42" s="13" t="s">
        <v>81</v>
      </c>
      <c r="F42" s="14">
        <v>8.85</v>
      </c>
      <c r="G42" s="1">
        <v>2015</v>
      </c>
      <c r="I42" s="16">
        <f t="shared" si="3"/>
        <v>2.7</v>
      </c>
      <c r="J42" s="16">
        <f t="shared" si="4"/>
        <v>2.7</v>
      </c>
      <c r="K42" s="16">
        <f t="shared" si="5"/>
        <v>2.7</v>
      </c>
      <c r="L42" s="16">
        <f t="shared" si="6"/>
        <v>2.7</v>
      </c>
      <c r="M42" s="16">
        <f t="shared" si="7"/>
        <v>0</v>
      </c>
    </row>
    <row r="43" spans="1:13" ht="12.75">
      <c r="A43" s="8">
        <v>4</v>
      </c>
      <c r="B43" s="15" t="s">
        <v>497</v>
      </c>
      <c r="C43" s="4" t="s">
        <v>17</v>
      </c>
      <c r="D43" s="4" t="s">
        <v>50</v>
      </c>
      <c r="E43" s="13" t="s">
        <v>81</v>
      </c>
      <c r="F43" s="16">
        <v>6.25</v>
      </c>
      <c r="G43" s="13">
        <v>2015</v>
      </c>
      <c r="I43" s="16">
        <f t="shared" si="3"/>
        <v>1.9000000000000001</v>
      </c>
      <c r="J43" s="16">
        <f t="shared" si="4"/>
        <v>1.9000000000000001</v>
      </c>
      <c r="K43" s="16">
        <f t="shared" si="5"/>
        <v>1.9000000000000001</v>
      </c>
      <c r="L43" s="16">
        <f t="shared" si="6"/>
        <v>1.9000000000000001</v>
      </c>
      <c r="M43" s="16">
        <f t="shared" si="7"/>
        <v>0</v>
      </c>
    </row>
    <row r="44" spans="1:13" ht="12.75">
      <c r="A44" s="8">
        <v>5</v>
      </c>
      <c r="B44" s="45" t="s">
        <v>463</v>
      </c>
      <c r="C44" s="4" t="s">
        <v>41</v>
      </c>
      <c r="D44" s="4" t="s">
        <v>48</v>
      </c>
      <c r="E44" s="13" t="s">
        <v>81</v>
      </c>
      <c r="F44" s="14">
        <v>2.95</v>
      </c>
      <c r="G44" s="1">
        <v>2013</v>
      </c>
      <c r="I44" s="16">
        <f t="shared" si="3"/>
        <v>0.9</v>
      </c>
      <c r="J44" s="16">
        <f t="shared" si="4"/>
        <v>0.9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262</v>
      </c>
      <c r="C45" s="4" t="s">
        <v>19</v>
      </c>
      <c r="D45" s="4" t="s">
        <v>24</v>
      </c>
      <c r="E45" s="4" t="s">
        <v>81</v>
      </c>
      <c r="F45" s="30">
        <v>1.75</v>
      </c>
      <c r="G45" s="4">
        <v>2013</v>
      </c>
      <c r="I45" s="16">
        <f t="shared" si="3"/>
        <v>0.55</v>
      </c>
      <c r="J45" s="16">
        <f t="shared" si="4"/>
        <v>0.55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26" t="s">
        <v>159</v>
      </c>
      <c r="C46" s="22" t="s">
        <v>94</v>
      </c>
      <c r="D46" s="22" t="s">
        <v>94</v>
      </c>
      <c r="E46" s="22" t="s">
        <v>94</v>
      </c>
      <c r="F46" s="14">
        <v>1.55</v>
      </c>
      <c r="G46" s="1">
        <v>2012</v>
      </c>
      <c r="I46" s="16">
        <f t="shared" si="3"/>
        <v>0.5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9.650000000000002</v>
      </c>
      <c r="J48" s="12">
        <f>+SUM(J40:J47)</f>
        <v>9.150000000000002</v>
      </c>
      <c r="K48" s="12">
        <f>+SUM(K40:K47)</f>
        <v>7.700000000000001</v>
      </c>
      <c r="L48" s="12">
        <f>+SUM(L40:L47)</f>
        <v>7.700000000000001</v>
      </c>
      <c r="M48" s="12">
        <f>+SUM(M40:M47)</f>
        <v>3.1000000000000005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2" t="s">
        <v>395</v>
      </c>
      <c r="C54" s="4" t="s">
        <v>38</v>
      </c>
      <c r="D54" s="4" t="s">
        <v>22</v>
      </c>
      <c r="E54" s="13">
        <v>2011</v>
      </c>
      <c r="F54" s="14">
        <v>1.1</v>
      </c>
      <c r="G54" s="1">
        <v>2014</v>
      </c>
      <c r="I54" s="16">
        <f aca="true" t="shared" si="8" ref="I54:I71">+CEILING(IF($I$52=E54,F54,IF($I$52&lt;=G54,F54*0.3,0)),0.05)</f>
        <v>0.35000000000000003</v>
      </c>
      <c r="J54" s="16">
        <f aca="true" t="shared" si="9" ref="J54:J71">+CEILING(IF($J$52&lt;=G54,F54*0.3,0),0.05)</f>
        <v>0.35000000000000003</v>
      </c>
      <c r="K54" s="16">
        <f aca="true" t="shared" si="10" ref="K54:K71">+CEILING(IF($K$52&lt;=G54,F54*0.3,0),0.05)</f>
        <v>0.35000000000000003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45" t="s">
        <v>250</v>
      </c>
      <c r="C55" s="4" t="s">
        <v>38</v>
      </c>
      <c r="D55" s="47" t="s">
        <v>101</v>
      </c>
      <c r="E55" s="13">
        <v>2011</v>
      </c>
      <c r="F55" s="14">
        <v>4.6</v>
      </c>
      <c r="G55" s="1">
        <v>2013</v>
      </c>
      <c r="I55" s="16">
        <f t="shared" si="8"/>
        <v>1.4000000000000001</v>
      </c>
      <c r="J55" s="16">
        <f t="shared" si="9"/>
        <v>1.4000000000000001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7" t="s">
        <v>238</v>
      </c>
      <c r="C56" s="4" t="s">
        <v>41</v>
      </c>
      <c r="D56" s="4" t="s">
        <v>48</v>
      </c>
      <c r="E56" s="13">
        <v>2009</v>
      </c>
      <c r="F56" s="14">
        <v>4</v>
      </c>
      <c r="G56" s="1">
        <v>2013</v>
      </c>
      <c r="I56" s="16">
        <f t="shared" si="8"/>
        <v>1.2000000000000002</v>
      </c>
      <c r="J56" s="16">
        <f t="shared" si="9"/>
        <v>1.2000000000000002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2" t="s">
        <v>259</v>
      </c>
      <c r="C57" s="4" t="s">
        <v>41</v>
      </c>
      <c r="D57" s="4" t="s">
        <v>93</v>
      </c>
      <c r="E57" s="13">
        <v>2011</v>
      </c>
      <c r="F57" s="14">
        <v>1</v>
      </c>
      <c r="G57" s="1">
        <v>2013</v>
      </c>
      <c r="I57" s="16">
        <f t="shared" si="8"/>
        <v>0.30000000000000004</v>
      </c>
      <c r="J57" s="16">
        <f t="shared" si="9"/>
        <v>0.30000000000000004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6" t="s">
        <v>158</v>
      </c>
      <c r="C58" s="4" t="s">
        <v>19</v>
      </c>
      <c r="D58" s="4" t="s">
        <v>48</v>
      </c>
      <c r="E58" s="13">
        <v>2010</v>
      </c>
      <c r="F58" s="14">
        <v>3.7</v>
      </c>
      <c r="G58" s="1">
        <v>2012</v>
      </c>
      <c r="I58" s="16">
        <f t="shared" si="8"/>
        <v>1.1500000000000001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2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2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D64" s="4"/>
      <c r="E64" s="4"/>
      <c r="F64" s="9"/>
      <c r="G64" s="10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aca="true" t="shared" si="13" ref="I65:I70">+CEILING(IF($I$52=E65,F65,IF($I$52&lt;=G65,F65*0.3,0)),0.05)</f>
        <v>0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/>
      <c r="D67" s="4"/>
      <c r="E67" s="13"/>
      <c r="F67" s="16"/>
      <c r="G67" s="13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13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4.4</v>
      </c>
      <c r="J73" s="17">
        <f>+SUM(J54:J72)</f>
        <v>3.25</v>
      </c>
      <c r="K73" s="17">
        <f>+SUM(K54:K72)</f>
        <v>0.35000000000000003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104" t="s">
        <v>52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55</v>
      </c>
      <c r="C77" s="6"/>
      <c r="D77" s="6"/>
      <c r="E77" s="6"/>
      <c r="F77" s="6" t="s">
        <v>54</v>
      </c>
      <c r="G77" s="6" t="s">
        <v>53</v>
      </c>
      <c r="I77" s="7">
        <f>+I$3</f>
        <v>2012</v>
      </c>
      <c r="J77" s="7">
        <f>+J$3</f>
        <v>2013</v>
      </c>
      <c r="K77" s="7">
        <f>+K$3</f>
        <v>2014</v>
      </c>
      <c r="L77" s="7">
        <f>+L$3</f>
        <v>2015</v>
      </c>
      <c r="M77" s="7">
        <f>+M$3</f>
        <v>2016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102"/>
      <c r="C79" s="102"/>
      <c r="D79" s="102"/>
      <c r="E79" s="102"/>
      <c r="F79" s="14"/>
      <c r="G79" s="1"/>
      <c r="I79" s="29">
        <f>F79</f>
        <v>0</v>
      </c>
      <c r="J79" s="29"/>
      <c r="K79" s="29"/>
      <c r="L79" s="29"/>
      <c r="M79" s="29"/>
    </row>
    <row r="80" spans="1:13" ht="12.75">
      <c r="A80" s="8">
        <v>2</v>
      </c>
      <c r="B80" s="102"/>
      <c r="C80" s="102"/>
      <c r="D80" s="102"/>
      <c r="E80" s="102"/>
      <c r="F80" s="14"/>
      <c r="G80" s="1"/>
      <c r="I80" s="29">
        <f>F80</f>
        <v>0</v>
      </c>
      <c r="J80" s="29"/>
      <c r="K80" s="29"/>
      <c r="L80" s="29"/>
      <c r="M80" s="29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6" t="s">
        <v>582</v>
      </c>
      <c r="C5" s="4" t="s">
        <v>19</v>
      </c>
      <c r="D5" s="47" t="s">
        <v>25</v>
      </c>
      <c r="E5" s="13" t="s">
        <v>49</v>
      </c>
      <c r="F5" s="14">
        <v>9.4</v>
      </c>
      <c r="G5" s="1">
        <v>2016</v>
      </c>
      <c r="I5" s="16">
        <f aca="true" t="shared" si="0" ref="I5:M14">+IF($G5&gt;=I$3,$F5,0)</f>
        <v>9.4</v>
      </c>
      <c r="J5" s="16">
        <f t="shared" si="0"/>
        <v>9.4</v>
      </c>
      <c r="K5" s="16">
        <f t="shared" si="0"/>
        <v>9.4</v>
      </c>
      <c r="L5" s="16">
        <f t="shared" si="0"/>
        <v>9.4</v>
      </c>
      <c r="M5" s="16">
        <f t="shared" si="0"/>
        <v>9.4</v>
      </c>
    </row>
    <row r="6" spans="1:13" ht="12.75">
      <c r="A6" s="8">
        <v>2</v>
      </c>
      <c r="B6" s="46" t="s">
        <v>671</v>
      </c>
      <c r="C6" s="4" t="s">
        <v>17</v>
      </c>
      <c r="D6" s="4" t="s">
        <v>35</v>
      </c>
      <c r="E6" s="13" t="s">
        <v>49</v>
      </c>
      <c r="F6" s="14">
        <v>5</v>
      </c>
      <c r="G6" s="1">
        <v>2016</v>
      </c>
      <c r="I6" s="16">
        <f t="shared" si="0"/>
        <v>5</v>
      </c>
      <c r="J6" s="16">
        <f t="shared" si="0"/>
        <v>5</v>
      </c>
      <c r="K6" s="16">
        <f t="shared" si="0"/>
        <v>5</v>
      </c>
      <c r="L6" s="16">
        <f t="shared" si="0"/>
        <v>5</v>
      </c>
      <c r="M6" s="16">
        <f t="shared" si="0"/>
        <v>5</v>
      </c>
    </row>
    <row r="7" spans="1:13" ht="12.75">
      <c r="A7" s="8">
        <v>3</v>
      </c>
      <c r="B7" s="46" t="s">
        <v>684</v>
      </c>
      <c r="C7" s="4" t="s">
        <v>19</v>
      </c>
      <c r="D7" s="4" t="s">
        <v>30</v>
      </c>
      <c r="E7" s="13" t="s">
        <v>49</v>
      </c>
      <c r="F7" s="14">
        <v>4</v>
      </c>
      <c r="G7" s="1">
        <v>2016</v>
      </c>
      <c r="I7" s="16">
        <f t="shared" si="0"/>
        <v>4</v>
      </c>
      <c r="J7" s="16">
        <f t="shared" si="0"/>
        <v>4</v>
      </c>
      <c r="K7" s="16">
        <f t="shared" si="0"/>
        <v>4</v>
      </c>
      <c r="L7" s="16">
        <f t="shared" si="0"/>
        <v>4</v>
      </c>
      <c r="M7" s="16">
        <f t="shared" si="0"/>
        <v>4</v>
      </c>
    </row>
    <row r="8" spans="1:13" ht="12.75">
      <c r="A8" s="8">
        <v>4</v>
      </c>
      <c r="B8" s="46" t="s">
        <v>610</v>
      </c>
      <c r="C8" s="13" t="s">
        <v>17</v>
      </c>
      <c r="D8" s="13" t="s">
        <v>25</v>
      </c>
      <c r="E8" s="13" t="s">
        <v>49</v>
      </c>
      <c r="F8" s="14">
        <v>1.85</v>
      </c>
      <c r="G8" s="1">
        <v>2016</v>
      </c>
      <c r="I8" s="16">
        <f t="shared" si="0"/>
        <v>1.85</v>
      </c>
      <c r="J8" s="16">
        <f t="shared" si="0"/>
        <v>1.85</v>
      </c>
      <c r="K8" s="16">
        <f t="shared" si="0"/>
        <v>1.85</v>
      </c>
      <c r="L8" s="16">
        <f t="shared" si="0"/>
        <v>1.85</v>
      </c>
      <c r="M8" s="16">
        <f t="shared" si="0"/>
        <v>1.85</v>
      </c>
    </row>
    <row r="9" spans="1:13" ht="12.75">
      <c r="A9" s="8">
        <v>5</v>
      </c>
      <c r="B9" s="34" t="s">
        <v>517</v>
      </c>
      <c r="C9" s="13" t="s">
        <v>31</v>
      </c>
      <c r="D9" s="13" t="s">
        <v>21</v>
      </c>
      <c r="E9" s="13" t="s">
        <v>49</v>
      </c>
      <c r="F9" s="14">
        <v>7.25</v>
      </c>
      <c r="G9" s="1">
        <v>2015</v>
      </c>
      <c r="I9" s="16">
        <f t="shared" si="0"/>
        <v>7.25</v>
      </c>
      <c r="J9" s="16">
        <f t="shared" si="0"/>
        <v>7.25</v>
      </c>
      <c r="K9" s="16">
        <f t="shared" si="0"/>
        <v>7.25</v>
      </c>
      <c r="L9" s="16">
        <f t="shared" si="0"/>
        <v>7.25</v>
      </c>
      <c r="M9" s="16">
        <f t="shared" si="0"/>
        <v>0</v>
      </c>
    </row>
    <row r="10" spans="1:13" ht="12.75">
      <c r="A10" s="8">
        <v>6</v>
      </c>
      <c r="B10" s="3" t="s">
        <v>427</v>
      </c>
      <c r="C10" s="4" t="s">
        <v>41</v>
      </c>
      <c r="D10" s="4" t="s">
        <v>93</v>
      </c>
      <c r="E10" s="4" t="s">
        <v>49</v>
      </c>
      <c r="F10" s="18">
        <v>4.6</v>
      </c>
      <c r="G10" s="4">
        <v>2015</v>
      </c>
      <c r="I10" s="16">
        <f t="shared" si="0"/>
        <v>4.6</v>
      </c>
      <c r="J10" s="16">
        <f t="shared" si="0"/>
        <v>4.6</v>
      </c>
      <c r="K10" s="16">
        <f t="shared" si="0"/>
        <v>4.6</v>
      </c>
      <c r="L10" s="16">
        <f t="shared" si="0"/>
        <v>4.6</v>
      </c>
      <c r="M10" s="16">
        <f t="shared" si="0"/>
        <v>0</v>
      </c>
    </row>
    <row r="11" spans="1:13" ht="12.75">
      <c r="A11" s="8">
        <v>7</v>
      </c>
      <c r="B11" s="21" t="s">
        <v>308</v>
      </c>
      <c r="C11" s="4" t="s">
        <v>41</v>
      </c>
      <c r="D11" s="4" t="s">
        <v>34</v>
      </c>
      <c r="E11" s="13" t="s">
        <v>49</v>
      </c>
      <c r="F11" s="14">
        <v>11.65</v>
      </c>
      <c r="G11" s="1">
        <v>2014</v>
      </c>
      <c r="I11" s="16">
        <f t="shared" si="0"/>
        <v>11.65</v>
      </c>
      <c r="J11" s="16">
        <f t="shared" si="0"/>
        <v>11.65</v>
      </c>
      <c r="K11" s="16">
        <f t="shared" si="0"/>
        <v>11.65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46" t="s">
        <v>589</v>
      </c>
      <c r="C12" s="4" t="s">
        <v>18</v>
      </c>
      <c r="D12" s="4" t="s">
        <v>93</v>
      </c>
      <c r="E12" s="13" t="s">
        <v>49</v>
      </c>
      <c r="F12" s="14">
        <v>7.25</v>
      </c>
      <c r="G12" s="1">
        <v>2014</v>
      </c>
      <c r="I12" s="16">
        <f t="shared" si="0"/>
        <v>7.25</v>
      </c>
      <c r="J12" s="16">
        <f t="shared" si="0"/>
        <v>7.25</v>
      </c>
      <c r="K12" s="16">
        <f t="shared" si="0"/>
        <v>7.25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346</v>
      </c>
      <c r="C13" s="4" t="s">
        <v>17</v>
      </c>
      <c r="D13" s="4" t="s">
        <v>57</v>
      </c>
      <c r="E13" s="47" t="s">
        <v>49</v>
      </c>
      <c r="F13" s="9">
        <v>5.9</v>
      </c>
      <c r="G13" s="10">
        <v>2014</v>
      </c>
      <c r="I13" s="16">
        <f t="shared" si="0"/>
        <v>5.9</v>
      </c>
      <c r="J13" s="16">
        <f t="shared" si="0"/>
        <v>5.9</v>
      </c>
      <c r="K13" s="16">
        <f t="shared" si="0"/>
        <v>5.9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563</v>
      </c>
      <c r="C14" s="4" t="s">
        <v>19</v>
      </c>
      <c r="D14" s="4" t="s">
        <v>44</v>
      </c>
      <c r="E14" s="4" t="s">
        <v>49</v>
      </c>
      <c r="F14" s="18">
        <v>5.5</v>
      </c>
      <c r="G14" s="4">
        <v>2014</v>
      </c>
      <c r="I14" s="16">
        <f t="shared" si="0"/>
        <v>5.5</v>
      </c>
      <c r="J14" s="16">
        <f t="shared" si="0"/>
        <v>5.5</v>
      </c>
      <c r="K14" s="16">
        <f t="shared" si="0"/>
        <v>5.5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393</v>
      </c>
      <c r="C15" s="4" t="s">
        <v>15</v>
      </c>
      <c r="D15" s="4" t="s">
        <v>35</v>
      </c>
      <c r="E15" s="13" t="s">
        <v>49</v>
      </c>
      <c r="F15" s="14">
        <v>1.3</v>
      </c>
      <c r="G15" s="1">
        <v>2014</v>
      </c>
      <c r="I15" s="16">
        <f aca="true" t="shared" si="1" ref="I15:M24">+IF($G15&gt;=I$3,$F15,0)</f>
        <v>1.3</v>
      </c>
      <c r="J15" s="16">
        <f t="shared" si="1"/>
        <v>1.3</v>
      </c>
      <c r="K15" s="16">
        <f t="shared" si="1"/>
        <v>1.3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384</v>
      </c>
      <c r="C16" s="4" t="s">
        <v>38</v>
      </c>
      <c r="D16" s="4" t="s">
        <v>22</v>
      </c>
      <c r="E16" s="13" t="s">
        <v>49</v>
      </c>
      <c r="F16" s="14">
        <v>1.1</v>
      </c>
      <c r="G16" s="1">
        <v>2014</v>
      </c>
      <c r="I16" s="16">
        <f t="shared" si="1"/>
        <v>1.1</v>
      </c>
      <c r="J16" s="16">
        <f t="shared" si="1"/>
        <v>1.1</v>
      </c>
      <c r="K16" s="16">
        <f t="shared" si="1"/>
        <v>1.1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216</v>
      </c>
      <c r="C17" s="4" t="s">
        <v>18</v>
      </c>
      <c r="D17" s="47" t="s">
        <v>21</v>
      </c>
      <c r="E17" s="13" t="s">
        <v>49</v>
      </c>
      <c r="F17" s="14">
        <v>14.6</v>
      </c>
      <c r="G17" s="1">
        <v>2013</v>
      </c>
      <c r="I17" s="16">
        <f t="shared" si="1"/>
        <v>14.6</v>
      </c>
      <c r="J17" s="16">
        <f t="shared" si="1"/>
        <v>14.6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237</v>
      </c>
      <c r="C18" s="4" t="s">
        <v>17</v>
      </c>
      <c r="D18" s="4" t="s">
        <v>33</v>
      </c>
      <c r="E18" s="13" t="s">
        <v>49</v>
      </c>
      <c r="F18" s="14">
        <v>4.15</v>
      </c>
      <c r="G18" s="2">
        <v>2013</v>
      </c>
      <c r="I18" s="16">
        <f t="shared" si="1"/>
        <v>4.15</v>
      </c>
      <c r="J18" s="16">
        <f t="shared" si="1"/>
        <v>4.15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261</v>
      </c>
      <c r="C19" s="4" t="s">
        <v>17</v>
      </c>
      <c r="D19" s="47" t="s">
        <v>482</v>
      </c>
      <c r="E19" s="13" t="s">
        <v>49</v>
      </c>
      <c r="F19" s="14">
        <v>1.6</v>
      </c>
      <c r="G19" s="1">
        <v>2013</v>
      </c>
      <c r="I19" s="16">
        <f t="shared" si="1"/>
        <v>1.6</v>
      </c>
      <c r="J19" s="16">
        <f t="shared" si="1"/>
        <v>1.6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583</v>
      </c>
      <c r="C20" s="4" t="s">
        <v>17</v>
      </c>
      <c r="D20" s="47" t="s">
        <v>48</v>
      </c>
      <c r="E20" s="13" t="s">
        <v>49</v>
      </c>
      <c r="F20" s="14">
        <v>5.2</v>
      </c>
      <c r="G20" s="1">
        <v>2012</v>
      </c>
      <c r="I20" s="16">
        <f t="shared" si="1"/>
        <v>5.2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152</v>
      </c>
      <c r="C21" s="4" t="s">
        <v>38</v>
      </c>
      <c r="D21" s="4" t="s">
        <v>29</v>
      </c>
      <c r="E21" s="13" t="s">
        <v>49</v>
      </c>
      <c r="F21" s="14">
        <v>5.05</v>
      </c>
      <c r="G21" s="1">
        <v>2012</v>
      </c>
      <c r="I21" s="16">
        <f t="shared" si="1"/>
        <v>5.05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185</v>
      </c>
      <c r="C22" s="4" t="s">
        <v>26</v>
      </c>
      <c r="D22" s="47" t="s">
        <v>35</v>
      </c>
      <c r="E22" s="13" t="s">
        <v>49</v>
      </c>
      <c r="F22" s="9">
        <v>4.65</v>
      </c>
      <c r="G22" s="10">
        <v>2012</v>
      </c>
      <c r="I22" s="16">
        <f t="shared" si="1"/>
        <v>4.65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174</v>
      </c>
      <c r="C23" s="4" t="s">
        <v>31</v>
      </c>
      <c r="D23" s="4" t="s">
        <v>29</v>
      </c>
      <c r="E23" s="4" t="s">
        <v>49</v>
      </c>
      <c r="F23" s="16">
        <v>4.55</v>
      </c>
      <c r="G23" s="13">
        <v>2012</v>
      </c>
      <c r="I23" s="16">
        <f t="shared" si="1"/>
        <v>4.55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6" t="s">
        <v>769</v>
      </c>
      <c r="C24" s="4" t="s">
        <v>17</v>
      </c>
      <c r="D24" s="4" t="s">
        <v>27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754</v>
      </c>
      <c r="C25" s="47" t="s">
        <v>19</v>
      </c>
      <c r="D25" s="4" t="s">
        <v>24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4" t="s">
        <v>692</v>
      </c>
      <c r="C26" s="4" t="s">
        <v>38</v>
      </c>
      <c r="D26" s="4" t="s">
        <v>57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6" t="s">
        <v>791</v>
      </c>
      <c r="C27" s="4" t="s">
        <v>38</v>
      </c>
      <c r="D27" s="4" t="s">
        <v>27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6" t="s">
        <v>599</v>
      </c>
      <c r="C28" s="4" t="s">
        <v>17</v>
      </c>
      <c r="D28" s="4" t="s">
        <v>21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716</v>
      </c>
      <c r="C29" s="4" t="s">
        <v>38</v>
      </c>
      <c r="D29" s="4" t="s">
        <v>32</v>
      </c>
      <c r="E29" s="4" t="s">
        <v>49</v>
      </c>
      <c r="F29" s="18">
        <v>1.3</v>
      </c>
      <c r="G29" s="4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6" t="s">
        <v>723</v>
      </c>
      <c r="C30" s="4" t="s">
        <v>31</v>
      </c>
      <c r="D30" s="4" t="s">
        <v>101</v>
      </c>
      <c r="E30" s="13" t="s">
        <v>49</v>
      </c>
      <c r="F30" s="14">
        <v>1.3</v>
      </c>
      <c r="G30" s="1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6" t="s">
        <v>739</v>
      </c>
      <c r="C31" s="4" t="s">
        <v>38</v>
      </c>
      <c r="D31" s="4" t="s">
        <v>22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149</v>
      </c>
      <c r="C32" s="4" t="s">
        <v>17</v>
      </c>
      <c r="D32" s="4" t="s">
        <v>30</v>
      </c>
      <c r="E32" s="13" t="s">
        <v>49</v>
      </c>
      <c r="F32" s="14">
        <v>1.05</v>
      </c>
      <c r="G32" s="1">
        <v>2012</v>
      </c>
      <c r="I32" s="16">
        <f t="shared" si="2"/>
        <v>1.05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116.04999999999997</v>
      </c>
      <c r="J34" s="17">
        <f>+SUM(J5:J32)</f>
        <v>85.14999999999999</v>
      </c>
      <c r="K34" s="17">
        <f>+SUM(K5:K32)</f>
        <v>64.8</v>
      </c>
      <c r="L34" s="17">
        <f>+SUM(L5:L32)</f>
        <v>32.1</v>
      </c>
      <c r="M34" s="17">
        <f>+SUM(M5:M32)</f>
        <v>20.25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4" t="s">
        <v>672</v>
      </c>
      <c r="C40" s="4" t="s">
        <v>17</v>
      </c>
      <c r="D40" s="4" t="s">
        <v>32</v>
      </c>
      <c r="E40" s="13" t="s">
        <v>81</v>
      </c>
      <c r="F40" s="14">
        <v>6</v>
      </c>
      <c r="G40" s="1">
        <v>2016</v>
      </c>
      <c r="I40" s="16">
        <f aca="true" t="shared" si="3" ref="I40:I45">+CEILING(IF($I$38&lt;=G40,F40*0.3,0),0.05)</f>
        <v>1.8</v>
      </c>
      <c r="J40" s="16">
        <f aca="true" t="shared" si="4" ref="J40:J45">+CEILING(IF($J$38&lt;=G40,F40*0.3,0),0.05)</f>
        <v>1.8</v>
      </c>
      <c r="K40" s="16">
        <f aca="true" t="shared" si="5" ref="K40:K45">+CEILING(IF($K$38&lt;=G40,F40*0.3,0),0.05)</f>
        <v>1.8</v>
      </c>
      <c r="L40" s="16">
        <f aca="true" t="shared" si="6" ref="L40:L45">+CEILING(IF($L$38&lt;=G40,F40*0.3,0),0.05)</f>
        <v>1.8</v>
      </c>
      <c r="M40" s="16">
        <f aca="true" t="shared" si="7" ref="M40:M45">+CEILING(IF($M$38&lt;=G40,F40*0.3,0),0.05)</f>
        <v>1.8</v>
      </c>
    </row>
    <row r="41" spans="1:13" ht="12.75">
      <c r="A41" s="8">
        <v>2</v>
      </c>
      <c r="B41" s="34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D42" s="4"/>
      <c r="E42" s="4"/>
      <c r="F42" s="9"/>
      <c r="G42" s="10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4"/>
      <c r="F43" s="9"/>
      <c r="G43" s="10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C46" s="22"/>
      <c r="D46" s="22"/>
      <c r="E46" s="22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1.8</v>
      </c>
      <c r="J48" s="12">
        <f>+SUM(J40:J47)</f>
        <v>1.8</v>
      </c>
      <c r="K48" s="12">
        <f>+SUM(K40:K47)</f>
        <v>1.8</v>
      </c>
      <c r="L48" s="12">
        <f>+SUM(L40:L47)</f>
        <v>1.8</v>
      </c>
      <c r="M48" s="12">
        <f>+SUM(M40:M47)</f>
        <v>1.8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323</v>
      </c>
      <c r="C54" s="4" t="s">
        <v>26</v>
      </c>
      <c r="D54" s="47" t="s">
        <v>46</v>
      </c>
      <c r="E54" s="13">
        <v>2011</v>
      </c>
      <c r="F54" s="14">
        <v>4.15</v>
      </c>
      <c r="G54" s="1">
        <v>2014</v>
      </c>
      <c r="I54" s="16">
        <f aca="true" t="shared" si="8" ref="I54:I66">+CEILING(IF($I$52=E54,F54,IF($I$52&lt;=G54,F54*0.3,0)),0.05)</f>
        <v>1.25</v>
      </c>
      <c r="J54" s="16">
        <f aca="true" t="shared" si="9" ref="J54:J66">+CEILING(IF($J$52&lt;=G54,F54*0.3,0),0.05)</f>
        <v>1.25</v>
      </c>
      <c r="K54" s="16">
        <f aca="true" t="shared" si="10" ref="K54:K66">+CEILING(IF($K$52&lt;=G54,F54*0.3,0),0.05)</f>
        <v>1.25</v>
      </c>
      <c r="L54" s="16">
        <f aca="true" t="shared" si="11" ref="L54:L66">+CEILING(IF($L$52&lt;=G54,F54*0.3,0),0.05)</f>
        <v>0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307</v>
      </c>
      <c r="C55" s="4" t="s">
        <v>38</v>
      </c>
      <c r="D55" s="4" t="s">
        <v>28</v>
      </c>
      <c r="E55" s="13">
        <v>2011</v>
      </c>
      <c r="F55" s="14">
        <v>3.7</v>
      </c>
      <c r="G55" s="1">
        <v>2014</v>
      </c>
      <c r="I55" s="16">
        <f t="shared" si="8"/>
        <v>1.1500000000000001</v>
      </c>
      <c r="J55" s="16">
        <f t="shared" si="9"/>
        <v>1.1500000000000001</v>
      </c>
      <c r="K55" s="16">
        <f t="shared" si="10"/>
        <v>1.1500000000000001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410</v>
      </c>
      <c r="C56" s="4" t="s">
        <v>38</v>
      </c>
      <c r="D56" s="4" t="s">
        <v>30</v>
      </c>
      <c r="E56" s="13">
        <v>2010</v>
      </c>
      <c r="F56" s="14">
        <v>1.1</v>
      </c>
      <c r="G56" s="1">
        <v>2014</v>
      </c>
      <c r="I56" s="16">
        <f t="shared" si="8"/>
        <v>0.35000000000000003</v>
      </c>
      <c r="J56" s="16">
        <f t="shared" si="9"/>
        <v>0.35000000000000003</v>
      </c>
      <c r="K56" s="16">
        <f t="shared" si="10"/>
        <v>0.35000000000000003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382</v>
      </c>
      <c r="C57" s="4" t="s">
        <v>17</v>
      </c>
      <c r="D57" s="4" t="s">
        <v>48</v>
      </c>
      <c r="E57" s="13">
        <v>2012</v>
      </c>
      <c r="F57" s="14">
        <v>1.1</v>
      </c>
      <c r="G57" s="1">
        <v>2014</v>
      </c>
      <c r="I57" s="16">
        <f t="shared" si="8"/>
        <v>1.1</v>
      </c>
      <c r="J57" s="16">
        <f t="shared" si="9"/>
        <v>0.35000000000000003</v>
      </c>
      <c r="K57" s="16">
        <f t="shared" si="10"/>
        <v>0.35000000000000003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229</v>
      </c>
      <c r="C58" s="4" t="s">
        <v>17</v>
      </c>
      <c r="D58" s="4" t="s">
        <v>47</v>
      </c>
      <c r="E58" s="13">
        <v>2011</v>
      </c>
      <c r="F58" s="14">
        <v>10.85</v>
      </c>
      <c r="G58" s="1">
        <v>2013</v>
      </c>
      <c r="I58" s="16">
        <f t="shared" si="8"/>
        <v>3.3000000000000003</v>
      </c>
      <c r="J58" s="16">
        <f t="shared" si="9"/>
        <v>3.3000000000000003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224</v>
      </c>
      <c r="C59" s="4" t="s">
        <v>19</v>
      </c>
      <c r="D59" s="47" t="s">
        <v>482</v>
      </c>
      <c r="E59" s="13">
        <v>2011</v>
      </c>
      <c r="F59" s="14">
        <v>7.95</v>
      </c>
      <c r="G59" s="1">
        <v>2013</v>
      </c>
      <c r="I59" s="16">
        <f t="shared" si="8"/>
        <v>2.4000000000000004</v>
      </c>
      <c r="J59" s="16">
        <f t="shared" si="9"/>
        <v>2.4000000000000004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46" t="s">
        <v>110</v>
      </c>
      <c r="C60" s="4" t="s">
        <v>17</v>
      </c>
      <c r="D60" s="4" t="s">
        <v>27</v>
      </c>
      <c r="E60" s="13">
        <v>2011</v>
      </c>
      <c r="F60" s="14">
        <v>4.05</v>
      </c>
      <c r="G60" s="1">
        <v>2013</v>
      </c>
      <c r="I60" s="16">
        <f t="shared" si="8"/>
        <v>1.25</v>
      </c>
      <c r="J60" s="16">
        <f t="shared" si="9"/>
        <v>1.25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46" t="s">
        <v>499</v>
      </c>
      <c r="C61" s="4" t="s">
        <v>38</v>
      </c>
      <c r="D61" s="4" t="s">
        <v>50</v>
      </c>
      <c r="E61" s="13">
        <v>2011</v>
      </c>
      <c r="F61" s="14">
        <v>3.15</v>
      </c>
      <c r="G61" s="1">
        <v>2013</v>
      </c>
      <c r="I61" s="16">
        <f t="shared" si="8"/>
        <v>0.9500000000000001</v>
      </c>
      <c r="J61" s="16">
        <f t="shared" si="9"/>
        <v>0.9500000000000001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 t="s">
        <v>277</v>
      </c>
      <c r="C62" s="4" t="s">
        <v>19</v>
      </c>
      <c r="D62" s="47" t="s">
        <v>39</v>
      </c>
      <c r="E62" s="13">
        <v>2011</v>
      </c>
      <c r="F62" s="14">
        <v>2.15</v>
      </c>
      <c r="G62" s="1">
        <v>2013</v>
      </c>
      <c r="I62" s="16">
        <f t="shared" si="8"/>
        <v>0.65</v>
      </c>
      <c r="J62" s="16">
        <f t="shared" si="9"/>
        <v>0.65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274</v>
      </c>
      <c r="C63" s="4" t="s">
        <v>15</v>
      </c>
      <c r="D63" s="4" t="s">
        <v>44</v>
      </c>
      <c r="E63" s="13">
        <v>2010</v>
      </c>
      <c r="F63" s="18">
        <v>1.65</v>
      </c>
      <c r="G63" s="4">
        <v>2013</v>
      </c>
      <c r="I63" s="16">
        <f>+CEILING(IF($I$52=E63,F63,IF($I$52&lt;=G63,F63*0.3,0)),0.05)</f>
        <v>0.5</v>
      </c>
      <c r="J63" s="16">
        <f>+CEILING(IF($J$52&lt;=G63,F63*0.3,0),0.05)</f>
        <v>0.5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 t="s">
        <v>173</v>
      </c>
      <c r="C64" s="4" t="s">
        <v>38</v>
      </c>
      <c r="D64" s="4" t="s">
        <v>37</v>
      </c>
      <c r="E64" s="13">
        <v>2009</v>
      </c>
      <c r="F64" s="14">
        <v>4.65</v>
      </c>
      <c r="G64" s="1">
        <v>2012</v>
      </c>
      <c r="I64" s="16">
        <f>+CEILING(IF($I$52=E64,F64,IF($I$52&lt;=G64,F64*0.3,0)),0.05)</f>
        <v>1.4000000000000001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 t="s">
        <v>98</v>
      </c>
      <c r="C65" s="4" t="s">
        <v>19</v>
      </c>
      <c r="D65" s="4" t="s">
        <v>116</v>
      </c>
      <c r="E65" s="13">
        <v>2008</v>
      </c>
      <c r="F65" s="14">
        <v>1.85</v>
      </c>
      <c r="G65" s="1">
        <v>2012</v>
      </c>
      <c r="I65" s="16">
        <f>+CEILING(IF($I$52=E65,F65,IF($I$52&lt;=G65,F65*0.3,0)),0.05)</f>
        <v>0.6000000000000001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46" t="s">
        <v>705</v>
      </c>
      <c r="C66" s="4" t="s">
        <v>38</v>
      </c>
      <c r="D66" s="4" t="s">
        <v>45</v>
      </c>
      <c r="E66" s="13">
        <v>2012</v>
      </c>
      <c r="F66" s="14">
        <v>1.3</v>
      </c>
      <c r="G66" s="1">
        <v>2012</v>
      </c>
      <c r="I66" s="16">
        <f t="shared" si="8"/>
        <v>1.3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46" t="s">
        <v>757</v>
      </c>
      <c r="C67" s="4" t="s">
        <v>38</v>
      </c>
      <c r="D67" s="4" t="s">
        <v>29</v>
      </c>
      <c r="E67" s="13">
        <v>2012</v>
      </c>
      <c r="F67" s="14">
        <v>1.3</v>
      </c>
      <c r="G67" s="1">
        <v>2012</v>
      </c>
      <c r="I67" s="16">
        <f>+CEILING(IF($I$52=E67,F67,IF($I$52&lt;=G67,F67*0.3,0)),0.05)</f>
        <v>1.3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46" t="s">
        <v>774</v>
      </c>
      <c r="C68" s="4" t="s">
        <v>17</v>
      </c>
      <c r="D68" s="4" t="s">
        <v>20</v>
      </c>
      <c r="E68" s="13">
        <v>2012</v>
      </c>
      <c r="F68" s="14">
        <v>1.3</v>
      </c>
      <c r="G68" s="1">
        <v>2012</v>
      </c>
      <c r="I68" s="16">
        <f>+CEILING(IF($I$52=E68,F68,IF($I$52&lt;=G68,F68*0.3,0)),0.05)</f>
        <v>1.3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46" t="s">
        <v>699</v>
      </c>
      <c r="C69" s="4" t="s">
        <v>38</v>
      </c>
      <c r="D69" s="4" t="s">
        <v>16</v>
      </c>
      <c r="E69" s="13">
        <v>2012</v>
      </c>
      <c r="F69" s="14">
        <v>1.3</v>
      </c>
      <c r="G69" s="1">
        <v>2012</v>
      </c>
      <c r="I69" s="16">
        <f>+CEILING(IF($I$52=E69,F69,IF($I$52&lt;=G69,F69*0.3,0)),0.05)</f>
        <v>1.3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/>
      <c r="D70" s="4"/>
      <c r="E70" s="13"/>
      <c r="F70" s="14"/>
      <c r="G70" s="1"/>
      <c r="I70" s="16">
        <f>+CEILING(IF($I$52=E70,F70,IF($I$52&lt;=G70,F70*0.3,0)),0.05)</f>
        <v>0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1"/>
      <c r="D71" s="4"/>
      <c r="E71" s="13"/>
      <c r="F71" s="14"/>
      <c r="G71" s="1"/>
      <c r="I71" s="16">
        <f>+CEILING(IF($I$52=E71,F71,IF($I$52&lt;=G71,F71*0.3,0)),0.05)</f>
        <v>0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20.1</v>
      </c>
      <c r="J73" s="17">
        <f>+SUM(J54:J72)</f>
        <v>12.15</v>
      </c>
      <c r="K73" s="17">
        <f>+SUM(K54:K72)</f>
        <v>3.1000000000000005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104" t="s">
        <v>52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55</v>
      </c>
      <c r="C77" s="6"/>
      <c r="D77" s="6"/>
      <c r="E77" s="6"/>
      <c r="F77" s="6" t="s">
        <v>54</v>
      </c>
      <c r="G77" s="6" t="s">
        <v>53</v>
      </c>
      <c r="I77" s="7">
        <f>+I$3</f>
        <v>2012</v>
      </c>
      <c r="J77" s="7">
        <f>+J$3</f>
        <v>2013</v>
      </c>
      <c r="K77" s="7">
        <f>+K$3</f>
        <v>2014</v>
      </c>
      <c r="L77" s="7">
        <f>+L$3</f>
        <v>2015</v>
      </c>
      <c r="M77" s="7">
        <f>+M$3</f>
        <v>2016</v>
      </c>
    </row>
    <row r="78" spans="1:13" ht="7.5" customHeight="1">
      <c r="A78" s="8"/>
      <c r="I78" s="12"/>
      <c r="J78" s="12"/>
      <c r="K78" s="12"/>
      <c r="L78" s="12"/>
      <c r="M78" s="12"/>
    </row>
    <row r="79" spans="1:13" ht="12.75">
      <c r="A79" s="8">
        <v>1</v>
      </c>
      <c r="B79" s="102"/>
      <c r="C79" s="102"/>
      <c r="D79" s="102"/>
      <c r="E79" s="102"/>
      <c r="F79" s="18"/>
      <c r="G79" s="1"/>
      <c r="I79" s="29"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102"/>
      <c r="C80" s="102"/>
      <c r="D80" s="102"/>
      <c r="E80" s="102"/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5" t="s">
        <v>542</v>
      </c>
      <c r="C5" s="4" t="s">
        <v>18</v>
      </c>
      <c r="D5" s="47" t="s">
        <v>33</v>
      </c>
      <c r="E5" s="13" t="s">
        <v>49</v>
      </c>
      <c r="F5" s="14">
        <v>7.9</v>
      </c>
      <c r="G5" s="1">
        <v>2016</v>
      </c>
      <c r="I5" s="16">
        <f aca="true" t="shared" si="0" ref="I5:M14">+IF($G5&gt;=I$3,$F5,0)</f>
        <v>7.9</v>
      </c>
      <c r="J5" s="16">
        <f t="shared" si="0"/>
        <v>7.9</v>
      </c>
      <c r="K5" s="16">
        <f t="shared" si="0"/>
        <v>7.9</v>
      </c>
      <c r="L5" s="16">
        <f t="shared" si="0"/>
        <v>7.9</v>
      </c>
      <c r="M5" s="16">
        <f t="shared" si="0"/>
        <v>7.9</v>
      </c>
    </row>
    <row r="6" spans="1:13" ht="12.75">
      <c r="A6" s="8">
        <v>2</v>
      </c>
      <c r="B6" s="34" t="s">
        <v>571</v>
      </c>
      <c r="C6" s="4" t="s">
        <v>19</v>
      </c>
      <c r="D6" s="47" t="s">
        <v>24</v>
      </c>
      <c r="E6" s="13" t="s">
        <v>49</v>
      </c>
      <c r="F6" s="14">
        <v>3.15</v>
      </c>
      <c r="G6" s="1">
        <v>2016</v>
      </c>
      <c r="I6" s="16">
        <f t="shared" si="0"/>
        <v>3.15</v>
      </c>
      <c r="J6" s="16">
        <f t="shared" si="0"/>
        <v>3.15</v>
      </c>
      <c r="K6" s="16">
        <f t="shared" si="0"/>
        <v>3.15</v>
      </c>
      <c r="L6" s="16">
        <f t="shared" si="0"/>
        <v>3.15</v>
      </c>
      <c r="M6" s="16">
        <f t="shared" si="0"/>
        <v>3.15</v>
      </c>
    </row>
    <row r="7" spans="1:13" ht="12.75">
      <c r="A7" s="8">
        <v>3</v>
      </c>
      <c r="B7" s="34" t="s">
        <v>572</v>
      </c>
      <c r="C7" s="4" t="s">
        <v>38</v>
      </c>
      <c r="D7" s="4" t="s">
        <v>20</v>
      </c>
      <c r="E7" s="13" t="s">
        <v>49</v>
      </c>
      <c r="F7" s="14">
        <v>3</v>
      </c>
      <c r="G7" s="1">
        <v>2016</v>
      </c>
      <c r="I7" s="16">
        <f t="shared" si="0"/>
        <v>3</v>
      </c>
      <c r="J7" s="16">
        <f t="shared" si="0"/>
        <v>3</v>
      </c>
      <c r="K7" s="16">
        <f t="shared" si="0"/>
        <v>3</v>
      </c>
      <c r="L7" s="16">
        <f t="shared" si="0"/>
        <v>3</v>
      </c>
      <c r="M7" s="16">
        <f t="shared" si="0"/>
        <v>3</v>
      </c>
    </row>
    <row r="8" spans="1:13" ht="12.75">
      <c r="A8" s="8">
        <v>4</v>
      </c>
      <c r="B8" s="34" t="s">
        <v>685</v>
      </c>
      <c r="C8" s="4" t="s">
        <v>38</v>
      </c>
      <c r="D8" s="4" t="s">
        <v>33</v>
      </c>
      <c r="E8" s="13" t="s">
        <v>49</v>
      </c>
      <c r="F8" s="14">
        <v>2.95</v>
      </c>
      <c r="G8" s="1">
        <v>2016</v>
      </c>
      <c r="I8" s="16">
        <f t="shared" si="0"/>
        <v>2.95</v>
      </c>
      <c r="J8" s="16">
        <f t="shared" si="0"/>
        <v>2.95</v>
      </c>
      <c r="K8" s="16">
        <f t="shared" si="0"/>
        <v>2.95</v>
      </c>
      <c r="L8" s="16">
        <f t="shared" si="0"/>
        <v>2.95</v>
      </c>
      <c r="M8" s="16">
        <f t="shared" si="0"/>
        <v>2.95</v>
      </c>
    </row>
    <row r="9" spans="1:13" ht="12.75">
      <c r="A9" s="8">
        <v>5</v>
      </c>
      <c r="B9" s="46" t="s">
        <v>426</v>
      </c>
      <c r="C9" s="4" t="s">
        <v>38</v>
      </c>
      <c r="D9" s="4" t="s">
        <v>23</v>
      </c>
      <c r="E9" s="13" t="s">
        <v>49</v>
      </c>
      <c r="F9" s="14">
        <v>7.05</v>
      </c>
      <c r="G9" s="1">
        <v>2015</v>
      </c>
      <c r="I9" s="16">
        <f t="shared" si="0"/>
        <v>7.05</v>
      </c>
      <c r="J9" s="16">
        <f t="shared" si="0"/>
        <v>7.05</v>
      </c>
      <c r="K9" s="16">
        <f t="shared" si="0"/>
        <v>7.05</v>
      </c>
      <c r="L9" s="16">
        <f t="shared" si="0"/>
        <v>7.05</v>
      </c>
      <c r="M9" s="16">
        <f t="shared" si="0"/>
        <v>0</v>
      </c>
    </row>
    <row r="10" spans="1:13" ht="12.75">
      <c r="A10" s="8">
        <v>6</v>
      </c>
      <c r="B10" s="34" t="s">
        <v>544</v>
      </c>
      <c r="C10" s="47" t="s">
        <v>19</v>
      </c>
      <c r="D10" s="47" t="s">
        <v>34</v>
      </c>
      <c r="E10" s="13" t="s">
        <v>49</v>
      </c>
      <c r="F10" s="14">
        <v>7.55</v>
      </c>
      <c r="G10" s="1">
        <v>2014</v>
      </c>
      <c r="I10" s="16">
        <f t="shared" si="0"/>
        <v>7.55</v>
      </c>
      <c r="J10" s="16">
        <f t="shared" si="0"/>
        <v>7.55</v>
      </c>
      <c r="K10" s="16">
        <f t="shared" si="0"/>
        <v>7.55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4" t="s">
        <v>648</v>
      </c>
      <c r="C11" s="4" t="s">
        <v>17</v>
      </c>
      <c r="D11" s="4" t="s">
        <v>24</v>
      </c>
      <c r="E11" s="13" t="s">
        <v>49</v>
      </c>
      <c r="F11" s="14">
        <v>2.1</v>
      </c>
      <c r="G11" s="1">
        <v>2014</v>
      </c>
      <c r="I11" s="16">
        <f t="shared" si="0"/>
        <v>2.1</v>
      </c>
      <c r="J11" s="16">
        <f t="shared" si="0"/>
        <v>2.1</v>
      </c>
      <c r="K11" s="16">
        <f t="shared" si="0"/>
        <v>2.1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218</v>
      </c>
      <c r="C12" s="4" t="s">
        <v>17</v>
      </c>
      <c r="D12" s="4" t="s">
        <v>39</v>
      </c>
      <c r="E12" s="13" t="s">
        <v>49</v>
      </c>
      <c r="F12" s="14">
        <v>13.15</v>
      </c>
      <c r="G12" s="1">
        <v>2013</v>
      </c>
      <c r="I12" s="16">
        <f t="shared" si="0"/>
        <v>13.15</v>
      </c>
      <c r="J12" s="16">
        <f t="shared" si="0"/>
        <v>13.15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4" t="s">
        <v>336</v>
      </c>
      <c r="C13" s="4" t="s">
        <v>31</v>
      </c>
      <c r="D13" s="4" t="s">
        <v>16</v>
      </c>
      <c r="E13" s="13" t="s">
        <v>49</v>
      </c>
      <c r="F13" s="14">
        <v>7.4</v>
      </c>
      <c r="G13" s="1">
        <v>2013</v>
      </c>
      <c r="I13" s="16">
        <f t="shared" si="0"/>
        <v>7.4</v>
      </c>
      <c r="J13" s="16">
        <f t="shared" si="0"/>
        <v>7.4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15" t="s">
        <v>276</v>
      </c>
      <c r="C14" s="4" t="s">
        <v>26</v>
      </c>
      <c r="D14" s="47" t="s">
        <v>45</v>
      </c>
      <c r="E14" s="13" t="s">
        <v>49</v>
      </c>
      <c r="F14" s="16">
        <v>6.25</v>
      </c>
      <c r="G14" s="13">
        <v>2013</v>
      </c>
      <c r="I14" s="16">
        <f t="shared" si="0"/>
        <v>6.25</v>
      </c>
      <c r="J14" s="16">
        <f t="shared" si="0"/>
        <v>6.25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7" t="s">
        <v>242</v>
      </c>
      <c r="C15" s="4" t="s">
        <v>17</v>
      </c>
      <c r="D15" s="4" t="s">
        <v>25</v>
      </c>
      <c r="E15" s="13" t="s">
        <v>49</v>
      </c>
      <c r="F15" s="18">
        <v>5.75</v>
      </c>
      <c r="G15" s="4">
        <v>2013</v>
      </c>
      <c r="I15" s="16">
        <f aca="true" t="shared" si="1" ref="I15:M24">+IF($G15&gt;=I$3,$F15,0)</f>
        <v>5.75</v>
      </c>
      <c r="J15" s="16">
        <f t="shared" si="1"/>
        <v>5.75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4" t="s">
        <v>449</v>
      </c>
      <c r="C16" s="47" t="s">
        <v>17</v>
      </c>
      <c r="D16" s="47" t="s">
        <v>34</v>
      </c>
      <c r="E16" s="13" t="s">
        <v>49</v>
      </c>
      <c r="F16" s="14">
        <v>4.55</v>
      </c>
      <c r="G16" s="1">
        <v>2013</v>
      </c>
      <c r="I16" s="16">
        <f t="shared" si="1"/>
        <v>4.55</v>
      </c>
      <c r="J16" s="16">
        <f t="shared" si="1"/>
        <v>4.55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255</v>
      </c>
      <c r="C17" s="4" t="s">
        <v>19</v>
      </c>
      <c r="D17" s="47" t="s">
        <v>45</v>
      </c>
      <c r="E17" s="13" t="s">
        <v>49</v>
      </c>
      <c r="F17" s="9">
        <v>4.1</v>
      </c>
      <c r="G17" s="10">
        <v>2013</v>
      </c>
      <c r="I17" s="16">
        <f t="shared" si="1"/>
        <v>4.1</v>
      </c>
      <c r="J17" s="16">
        <f t="shared" si="1"/>
        <v>4.1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133</v>
      </c>
      <c r="C18" s="4" t="s">
        <v>18</v>
      </c>
      <c r="D18" s="47" t="s">
        <v>57</v>
      </c>
      <c r="E18" s="13" t="s">
        <v>49</v>
      </c>
      <c r="F18" s="9">
        <v>2.25</v>
      </c>
      <c r="G18" s="10">
        <v>2013</v>
      </c>
      <c r="I18" s="16">
        <f t="shared" si="1"/>
        <v>2.25</v>
      </c>
      <c r="J18" s="16">
        <f t="shared" si="1"/>
        <v>2.25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4" t="s">
        <v>473</v>
      </c>
      <c r="C19" s="47" t="s">
        <v>15</v>
      </c>
      <c r="D19" s="47" t="s">
        <v>25</v>
      </c>
      <c r="E19" s="13" t="s">
        <v>49</v>
      </c>
      <c r="F19" s="14">
        <v>2.05</v>
      </c>
      <c r="G19" s="1">
        <v>2013</v>
      </c>
      <c r="I19" s="16">
        <f t="shared" si="1"/>
        <v>2.05</v>
      </c>
      <c r="J19" s="16">
        <f t="shared" si="1"/>
        <v>2.05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4" t="s">
        <v>629</v>
      </c>
      <c r="C20" s="4" t="s">
        <v>17</v>
      </c>
      <c r="D20" s="47" t="s">
        <v>22</v>
      </c>
      <c r="E20" s="13" t="s">
        <v>49</v>
      </c>
      <c r="F20" s="14">
        <v>1.3</v>
      </c>
      <c r="G20" s="1">
        <v>2013</v>
      </c>
      <c r="I20" s="16">
        <f t="shared" si="1"/>
        <v>1.3</v>
      </c>
      <c r="J20" s="16">
        <f t="shared" si="1"/>
        <v>1.3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5" t="s">
        <v>543</v>
      </c>
      <c r="C21" s="4" t="s">
        <v>41</v>
      </c>
      <c r="D21" s="47" t="s">
        <v>35</v>
      </c>
      <c r="E21" s="13" t="s">
        <v>49</v>
      </c>
      <c r="F21" s="14">
        <v>5.55</v>
      </c>
      <c r="G21" s="1">
        <v>2012</v>
      </c>
      <c r="I21" s="16">
        <f t="shared" si="1"/>
        <v>5.55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499</v>
      </c>
      <c r="C22" s="47" t="s">
        <v>38</v>
      </c>
      <c r="D22" s="4" t="s">
        <v>50</v>
      </c>
      <c r="E22" s="13" t="s">
        <v>49</v>
      </c>
      <c r="F22" s="18">
        <v>2.9</v>
      </c>
      <c r="G22" s="4">
        <v>2012</v>
      </c>
      <c r="I22" s="16">
        <f t="shared" si="1"/>
        <v>2.9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5" t="s">
        <v>474</v>
      </c>
      <c r="C23" s="47" t="s">
        <v>38</v>
      </c>
      <c r="D23" s="47" t="s">
        <v>56</v>
      </c>
      <c r="E23" s="13" t="s">
        <v>49</v>
      </c>
      <c r="F23" s="18">
        <v>2.6</v>
      </c>
      <c r="G23" s="4">
        <v>2012</v>
      </c>
      <c r="I23" s="16">
        <f t="shared" si="1"/>
        <v>2.6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4" t="s">
        <v>392</v>
      </c>
      <c r="C24" s="4" t="s">
        <v>31</v>
      </c>
      <c r="D24" s="47" t="s">
        <v>46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4" t="s">
        <v>224</v>
      </c>
      <c r="C25" s="4" t="s">
        <v>19</v>
      </c>
      <c r="D25" s="4" t="s">
        <v>30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5" t="s">
        <v>695</v>
      </c>
      <c r="C26" s="4" t="s">
        <v>38</v>
      </c>
      <c r="D26" s="4" t="s">
        <v>37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700</v>
      </c>
      <c r="C27" s="4" t="s">
        <v>41</v>
      </c>
      <c r="D27" s="4" t="s">
        <v>48</v>
      </c>
      <c r="E27" s="4" t="s">
        <v>49</v>
      </c>
      <c r="F27" s="30">
        <v>1.3</v>
      </c>
      <c r="G27" s="4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742</v>
      </c>
      <c r="C28" s="4" t="s">
        <v>17</v>
      </c>
      <c r="D28" s="4" t="s">
        <v>30</v>
      </c>
      <c r="E28" s="13" t="s">
        <v>49</v>
      </c>
      <c r="F28" s="14">
        <v>1.3</v>
      </c>
      <c r="G28" s="2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5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5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E31" s="13"/>
      <c r="F31" s="9"/>
      <c r="G31" s="10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E32" s="4"/>
      <c r="F32" s="30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98.04999999999997</v>
      </c>
      <c r="J34" s="17">
        <f>+SUM(J5:J32)</f>
        <v>80.49999999999999</v>
      </c>
      <c r="K34" s="17">
        <f>+SUM(K5:K32)</f>
        <v>33.7</v>
      </c>
      <c r="L34" s="17">
        <f>+SUM(L5:L32)</f>
        <v>24.05</v>
      </c>
      <c r="M34" s="17">
        <f>+SUM(M5:M32)</f>
        <v>17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+I3</f>
        <v>2012</v>
      </c>
      <c r="J38" s="7">
        <f>+J3</f>
        <v>2013</v>
      </c>
      <c r="K38" s="7">
        <f>+K3</f>
        <v>2014</v>
      </c>
      <c r="L38" s="7">
        <f>+L3</f>
        <v>2015</v>
      </c>
      <c r="M38" s="7">
        <f>+M3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/>
      <c r="E40" s="13"/>
      <c r="F40" s="14"/>
      <c r="G40" s="1"/>
      <c r="I40" s="16">
        <f aca="true" t="shared" si="3" ref="I40:I45">+CEILING(IF($I$38&lt;=G40,F40*0.3,0),0.05)</f>
        <v>0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1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1"/>
      <c r="J46" s="31"/>
      <c r="K46" s="31"/>
      <c r="L46" s="31"/>
      <c r="M46" s="31"/>
    </row>
    <row r="47" spans="1:13" ht="12.75">
      <c r="A47" s="8"/>
      <c r="I47" s="12">
        <f>+SUM(I40:I46)</f>
        <v>0</v>
      </c>
      <c r="J47" s="12">
        <f>+SUM(J40:J46)</f>
        <v>0</v>
      </c>
      <c r="K47" s="12">
        <f>+SUM(K40:K46)</f>
        <v>0</v>
      </c>
      <c r="L47" s="12">
        <f>+SUM(L40:L46)</f>
        <v>0</v>
      </c>
      <c r="M47" s="12">
        <f>+SUM(M40:M46)</f>
        <v>0</v>
      </c>
    </row>
    <row r="49" spans="1:13" ht="15.75">
      <c r="A49" s="104" t="s">
        <v>51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ht="7.5" customHeight="1"/>
    <row r="51" spans="2:13" ht="12.75">
      <c r="B51" s="5" t="s">
        <v>1</v>
      </c>
      <c r="C51" s="6" t="s">
        <v>13</v>
      </c>
      <c r="D51" s="6" t="s">
        <v>4</v>
      </c>
      <c r="E51" s="6" t="s">
        <v>6</v>
      </c>
      <c r="F51" s="6" t="s">
        <v>3</v>
      </c>
      <c r="G51" s="6" t="s">
        <v>14</v>
      </c>
      <c r="I51" s="7">
        <f>+I$3</f>
        <v>2012</v>
      </c>
      <c r="J51" s="7">
        <f>+J$3</f>
        <v>2013</v>
      </c>
      <c r="K51" s="7">
        <f>+K$3</f>
        <v>2014</v>
      </c>
      <c r="L51" s="7">
        <f>+L$3</f>
        <v>2015</v>
      </c>
      <c r="M51" s="7">
        <f>+M$3</f>
        <v>2016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178</v>
      </c>
      <c r="C53" s="4" t="s">
        <v>17</v>
      </c>
      <c r="D53" s="4" t="s">
        <v>45</v>
      </c>
      <c r="E53" s="13">
        <v>2010</v>
      </c>
      <c r="F53" s="14">
        <v>2.1</v>
      </c>
      <c r="G53" s="1">
        <v>2012</v>
      </c>
      <c r="I53" s="16">
        <f aca="true" t="shared" si="8" ref="I53:I62">+CEILING(IF($I$51=E53,F53,IF($I$51&lt;=G53,F53*0.3,0)),0.05)</f>
        <v>0.65</v>
      </c>
      <c r="J53" s="16">
        <f aca="true" t="shared" si="9" ref="J53:J62">+CEILING(IF($J$51&lt;=G53,F53*0.3,0),0.05)</f>
        <v>0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 t="s">
        <v>179</v>
      </c>
      <c r="C54" s="4" t="s">
        <v>19</v>
      </c>
      <c r="D54" s="4" t="s">
        <v>93</v>
      </c>
      <c r="E54" s="13">
        <v>2010</v>
      </c>
      <c r="F54" s="14">
        <v>1.85</v>
      </c>
      <c r="G54" s="1">
        <v>2012</v>
      </c>
      <c r="I54" s="16">
        <f t="shared" si="8"/>
        <v>0.6000000000000001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7" t="s">
        <v>177</v>
      </c>
      <c r="C55" s="4" t="s">
        <v>41</v>
      </c>
      <c r="D55" s="4" t="s">
        <v>93</v>
      </c>
      <c r="E55" s="13">
        <v>2010</v>
      </c>
      <c r="F55" s="14">
        <v>0.9</v>
      </c>
      <c r="G55" s="1">
        <v>2012</v>
      </c>
      <c r="I55" s="16">
        <f t="shared" si="8"/>
        <v>0.30000000000000004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7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C61" s="13"/>
      <c r="D61" s="13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1.55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104" t="s">
        <v>52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55</v>
      </c>
      <c r="C68" s="6"/>
      <c r="D68" s="6"/>
      <c r="E68" s="6"/>
      <c r="F68" s="6" t="s">
        <v>54</v>
      </c>
      <c r="G68" s="6" t="s">
        <v>53</v>
      </c>
      <c r="I68" s="7">
        <f>+I$3</f>
        <v>2012</v>
      </c>
      <c r="J68" s="7">
        <f>+J$3</f>
        <v>2013</v>
      </c>
      <c r="K68" s="7">
        <f>+K$3</f>
        <v>2014</v>
      </c>
      <c r="L68" s="7">
        <f>+L$3</f>
        <v>2015</v>
      </c>
      <c r="M68" s="7">
        <f>+M$3</f>
        <v>2016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102"/>
      <c r="C70" s="102"/>
      <c r="D70" s="102"/>
      <c r="E70" s="102"/>
      <c r="F70" s="18"/>
      <c r="G70" s="4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102"/>
      <c r="C71" s="102"/>
      <c r="D71" s="102"/>
      <c r="E71" s="102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2">
      <selection activeCell="B70" sqref="B70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548</v>
      </c>
      <c r="C5" s="4" t="s">
        <v>19</v>
      </c>
      <c r="D5" s="4" t="s">
        <v>101</v>
      </c>
      <c r="E5" s="13" t="s">
        <v>49</v>
      </c>
      <c r="F5" s="14">
        <v>19</v>
      </c>
      <c r="G5" s="1">
        <v>2016</v>
      </c>
      <c r="I5" s="16">
        <f aca="true" t="shared" si="0" ref="I5:M14">+IF($G5&gt;=I$3,$F5,0)</f>
        <v>19</v>
      </c>
      <c r="J5" s="16">
        <f t="shared" si="0"/>
        <v>19</v>
      </c>
      <c r="K5" s="16">
        <f t="shared" si="0"/>
        <v>19</v>
      </c>
      <c r="L5" s="16">
        <f t="shared" si="0"/>
        <v>19</v>
      </c>
      <c r="M5" s="16">
        <f t="shared" si="0"/>
        <v>19</v>
      </c>
    </row>
    <row r="6" spans="1:13" ht="12.75">
      <c r="A6" s="8">
        <v>2</v>
      </c>
      <c r="B6" s="34" t="s">
        <v>550</v>
      </c>
      <c r="C6" s="4" t="s">
        <v>19</v>
      </c>
      <c r="D6" s="47" t="s">
        <v>34</v>
      </c>
      <c r="E6" s="13" t="s">
        <v>49</v>
      </c>
      <c r="F6" s="14">
        <v>11.25</v>
      </c>
      <c r="G6" s="1">
        <v>2016</v>
      </c>
      <c r="I6" s="16">
        <f t="shared" si="0"/>
        <v>11.25</v>
      </c>
      <c r="J6" s="16">
        <f t="shared" si="0"/>
        <v>11.25</v>
      </c>
      <c r="K6" s="16">
        <f t="shared" si="0"/>
        <v>11.25</v>
      </c>
      <c r="L6" s="16">
        <f t="shared" si="0"/>
        <v>11.25</v>
      </c>
      <c r="M6" s="16">
        <f t="shared" si="0"/>
        <v>11.25</v>
      </c>
    </row>
    <row r="7" spans="1:13" ht="12.75">
      <c r="A7" s="8">
        <v>3</v>
      </c>
      <c r="B7" s="34" t="s">
        <v>618</v>
      </c>
      <c r="C7" s="4" t="s">
        <v>19</v>
      </c>
      <c r="D7" s="4" t="s">
        <v>35</v>
      </c>
      <c r="E7" s="13" t="s">
        <v>49</v>
      </c>
      <c r="F7" s="14">
        <v>4.35</v>
      </c>
      <c r="G7" s="1">
        <v>2016</v>
      </c>
      <c r="I7" s="16">
        <f t="shared" si="0"/>
        <v>4.35</v>
      </c>
      <c r="J7" s="16">
        <f t="shared" si="0"/>
        <v>4.35</v>
      </c>
      <c r="K7" s="16">
        <f t="shared" si="0"/>
        <v>4.35</v>
      </c>
      <c r="L7" s="16">
        <f t="shared" si="0"/>
        <v>4.35</v>
      </c>
      <c r="M7" s="16">
        <f t="shared" si="0"/>
        <v>4.35</v>
      </c>
    </row>
    <row r="8" spans="1:13" ht="12.75">
      <c r="A8" s="8">
        <v>4</v>
      </c>
      <c r="B8" s="34" t="s">
        <v>229</v>
      </c>
      <c r="C8" s="47" t="s">
        <v>17</v>
      </c>
      <c r="D8" s="47" t="s">
        <v>46</v>
      </c>
      <c r="E8" s="13" t="s">
        <v>49</v>
      </c>
      <c r="F8" s="14">
        <v>4.05</v>
      </c>
      <c r="G8" s="1">
        <v>2016</v>
      </c>
      <c r="I8" s="16">
        <f t="shared" si="0"/>
        <v>4.05</v>
      </c>
      <c r="J8" s="16">
        <f t="shared" si="0"/>
        <v>4.05</v>
      </c>
      <c r="K8" s="16">
        <f t="shared" si="0"/>
        <v>4.05</v>
      </c>
      <c r="L8" s="16">
        <f t="shared" si="0"/>
        <v>4.05</v>
      </c>
      <c r="M8" s="16">
        <f t="shared" si="0"/>
        <v>4.05</v>
      </c>
    </row>
    <row r="9" spans="1:13" ht="12.75">
      <c r="A9" s="8">
        <v>5</v>
      </c>
      <c r="B9" s="34" t="s">
        <v>300</v>
      </c>
      <c r="C9" s="13" t="s">
        <v>18</v>
      </c>
      <c r="D9" s="13" t="s">
        <v>45</v>
      </c>
      <c r="E9" s="13" t="s">
        <v>49</v>
      </c>
      <c r="F9" s="14">
        <v>8.05</v>
      </c>
      <c r="G9" s="1">
        <v>2015</v>
      </c>
      <c r="I9" s="16">
        <f t="shared" si="0"/>
        <v>8.05</v>
      </c>
      <c r="J9" s="16">
        <f t="shared" si="0"/>
        <v>8.05</v>
      </c>
      <c r="K9" s="16">
        <f t="shared" si="0"/>
        <v>8.05</v>
      </c>
      <c r="L9" s="16">
        <f t="shared" si="0"/>
        <v>8.05</v>
      </c>
      <c r="M9" s="16">
        <f t="shared" si="0"/>
        <v>0</v>
      </c>
    </row>
    <row r="10" spans="1:13" ht="12.75">
      <c r="A10" s="8">
        <v>6</v>
      </c>
      <c r="B10" s="46" t="s">
        <v>217</v>
      </c>
      <c r="C10" s="4" t="s">
        <v>26</v>
      </c>
      <c r="D10" s="47" t="s">
        <v>56</v>
      </c>
      <c r="E10" s="13" t="s">
        <v>49</v>
      </c>
      <c r="F10" s="14">
        <v>5.3</v>
      </c>
      <c r="G10" s="1">
        <v>2015</v>
      </c>
      <c r="I10" s="16">
        <f t="shared" si="0"/>
        <v>5.3</v>
      </c>
      <c r="J10" s="16">
        <f t="shared" si="0"/>
        <v>5.3</v>
      </c>
      <c r="K10" s="16">
        <f t="shared" si="0"/>
        <v>5.3</v>
      </c>
      <c r="L10" s="16">
        <f t="shared" si="0"/>
        <v>5.3</v>
      </c>
      <c r="M10" s="16">
        <f t="shared" si="0"/>
        <v>0</v>
      </c>
    </row>
    <row r="11" spans="1:13" ht="12.75">
      <c r="A11" s="8">
        <v>7</v>
      </c>
      <c r="B11" s="34" t="s">
        <v>468</v>
      </c>
      <c r="C11" s="4" t="s">
        <v>31</v>
      </c>
      <c r="D11" s="4" t="s">
        <v>35</v>
      </c>
      <c r="E11" s="13" t="s">
        <v>49</v>
      </c>
      <c r="F11" s="14">
        <v>4.35</v>
      </c>
      <c r="G11" s="1">
        <v>2015</v>
      </c>
      <c r="I11" s="16">
        <f t="shared" si="0"/>
        <v>4.35</v>
      </c>
      <c r="J11" s="16">
        <f t="shared" si="0"/>
        <v>4.35</v>
      </c>
      <c r="K11" s="16">
        <f t="shared" si="0"/>
        <v>4.35</v>
      </c>
      <c r="L11" s="16">
        <f t="shared" si="0"/>
        <v>4.35</v>
      </c>
      <c r="M11" s="16">
        <f t="shared" si="0"/>
        <v>0</v>
      </c>
    </row>
    <row r="12" spans="1:13" ht="12.75">
      <c r="A12" s="8">
        <v>8</v>
      </c>
      <c r="B12" s="34" t="s">
        <v>440</v>
      </c>
      <c r="C12" s="4" t="s">
        <v>17</v>
      </c>
      <c r="D12" s="47" t="s">
        <v>44</v>
      </c>
      <c r="E12" s="13" t="s">
        <v>49</v>
      </c>
      <c r="F12" s="14">
        <v>4.25</v>
      </c>
      <c r="G12" s="1">
        <v>2015</v>
      </c>
      <c r="I12" s="16">
        <f t="shared" si="0"/>
        <v>4.25</v>
      </c>
      <c r="J12" s="16">
        <f t="shared" si="0"/>
        <v>4.25</v>
      </c>
      <c r="K12" s="16">
        <f t="shared" si="0"/>
        <v>4.25</v>
      </c>
      <c r="L12" s="16">
        <f t="shared" si="0"/>
        <v>4.25</v>
      </c>
      <c r="M12" s="16">
        <f t="shared" si="0"/>
        <v>0</v>
      </c>
    </row>
    <row r="13" spans="1:13" ht="12.75">
      <c r="A13" s="8">
        <v>9</v>
      </c>
      <c r="B13" s="3" t="s">
        <v>549</v>
      </c>
      <c r="C13" s="4" t="s">
        <v>18</v>
      </c>
      <c r="D13" s="4" t="s">
        <v>35</v>
      </c>
      <c r="E13" s="13" t="s">
        <v>49</v>
      </c>
      <c r="F13" s="18">
        <v>4</v>
      </c>
      <c r="G13" s="4">
        <v>2015</v>
      </c>
      <c r="I13" s="16">
        <f t="shared" si="0"/>
        <v>4</v>
      </c>
      <c r="J13" s="16">
        <f t="shared" si="0"/>
        <v>4</v>
      </c>
      <c r="K13" s="16">
        <f t="shared" si="0"/>
        <v>4</v>
      </c>
      <c r="L13" s="16">
        <f t="shared" si="0"/>
        <v>4</v>
      </c>
      <c r="M13" s="16">
        <f t="shared" si="0"/>
        <v>0</v>
      </c>
    </row>
    <row r="14" spans="1:13" ht="12.75">
      <c r="A14" s="8">
        <v>10</v>
      </c>
      <c r="B14" s="46" t="s">
        <v>516</v>
      </c>
      <c r="C14" s="4" t="s">
        <v>19</v>
      </c>
      <c r="D14" s="4" t="s">
        <v>24</v>
      </c>
      <c r="E14" s="13" t="s">
        <v>49</v>
      </c>
      <c r="F14" s="14">
        <v>1.2</v>
      </c>
      <c r="G14" s="2">
        <v>2015</v>
      </c>
      <c r="I14" s="16">
        <f t="shared" si="0"/>
        <v>1.2</v>
      </c>
      <c r="J14" s="16">
        <f t="shared" si="0"/>
        <v>1.2</v>
      </c>
      <c r="K14" s="16">
        <f t="shared" si="0"/>
        <v>1.2</v>
      </c>
      <c r="L14" s="16">
        <f t="shared" si="0"/>
        <v>1.2</v>
      </c>
      <c r="M14" s="16">
        <f t="shared" si="0"/>
        <v>0</v>
      </c>
    </row>
    <row r="15" spans="1:13" ht="12.75">
      <c r="A15" s="8">
        <v>11</v>
      </c>
      <c r="B15" s="3" t="s">
        <v>219</v>
      </c>
      <c r="C15" s="4" t="s">
        <v>19</v>
      </c>
      <c r="D15" s="4" t="s">
        <v>20</v>
      </c>
      <c r="E15" s="13" t="s">
        <v>49</v>
      </c>
      <c r="F15" s="18">
        <v>1.75</v>
      </c>
      <c r="G15" s="4">
        <v>2014</v>
      </c>
      <c r="I15" s="16">
        <f aca="true" t="shared" si="1" ref="I15:M24">+IF($G15&gt;=I$3,$F15,0)</f>
        <v>1.75</v>
      </c>
      <c r="J15" s="16">
        <f t="shared" si="1"/>
        <v>1.75</v>
      </c>
      <c r="K15" s="16">
        <f t="shared" si="1"/>
        <v>1.75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226</v>
      </c>
      <c r="C16" s="4" t="s">
        <v>18</v>
      </c>
      <c r="D16" s="4" t="s">
        <v>101</v>
      </c>
      <c r="E16" s="13" t="s">
        <v>49</v>
      </c>
      <c r="F16" s="14">
        <v>4.7</v>
      </c>
      <c r="G16" s="1">
        <v>2013</v>
      </c>
      <c r="I16" s="16">
        <f t="shared" si="1"/>
        <v>4.7</v>
      </c>
      <c r="J16" s="16">
        <f t="shared" si="1"/>
        <v>4.7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6" t="s">
        <v>434</v>
      </c>
      <c r="C17" s="4" t="s">
        <v>17</v>
      </c>
      <c r="D17" s="47" t="s">
        <v>29</v>
      </c>
      <c r="E17" s="13" t="s">
        <v>49</v>
      </c>
      <c r="F17" s="14">
        <v>2.95</v>
      </c>
      <c r="G17" s="1">
        <v>2013</v>
      </c>
      <c r="I17" s="16">
        <f t="shared" si="1"/>
        <v>2.95</v>
      </c>
      <c r="J17" s="16">
        <f t="shared" si="1"/>
        <v>2.95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4" t="s">
        <v>127</v>
      </c>
      <c r="C18" s="4" t="s">
        <v>17</v>
      </c>
      <c r="D18" s="4" t="s">
        <v>46</v>
      </c>
      <c r="E18" s="4" t="s">
        <v>49</v>
      </c>
      <c r="F18" s="14">
        <v>2</v>
      </c>
      <c r="G18" s="2">
        <v>2013</v>
      </c>
      <c r="I18" s="16">
        <f t="shared" si="1"/>
        <v>2</v>
      </c>
      <c r="J18" s="16">
        <f t="shared" si="1"/>
        <v>2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240</v>
      </c>
      <c r="C19" s="4" t="s">
        <v>15</v>
      </c>
      <c r="D19" s="47" t="s">
        <v>56</v>
      </c>
      <c r="E19" s="13" t="s">
        <v>49</v>
      </c>
      <c r="F19" s="14">
        <v>1.75</v>
      </c>
      <c r="G19" s="1">
        <v>2013</v>
      </c>
      <c r="I19" s="16">
        <f t="shared" si="1"/>
        <v>1.75</v>
      </c>
      <c r="J19" s="16">
        <f t="shared" si="1"/>
        <v>1.75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134</v>
      </c>
      <c r="C20" s="4" t="s">
        <v>19</v>
      </c>
      <c r="D20" s="47" t="s">
        <v>27</v>
      </c>
      <c r="E20" s="13" t="s">
        <v>49</v>
      </c>
      <c r="F20" s="14">
        <v>10.3</v>
      </c>
      <c r="G20" s="1">
        <v>2012</v>
      </c>
      <c r="I20" s="16">
        <f t="shared" si="1"/>
        <v>10.3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313</v>
      </c>
      <c r="C21" s="4" t="s">
        <v>18</v>
      </c>
      <c r="D21" s="4" t="s">
        <v>116</v>
      </c>
      <c r="E21" s="13" t="s">
        <v>49</v>
      </c>
      <c r="F21" s="14">
        <v>9.2</v>
      </c>
      <c r="G21" s="1">
        <v>2012</v>
      </c>
      <c r="I21" s="16">
        <f t="shared" si="1"/>
        <v>9.2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328</v>
      </c>
      <c r="C22" s="4" t="s">
        <v>41</v>
      </c>
      <c r="D22" s="47" t="s">
        <v>23</v>
      </c>
      <c r="E22" s="4" t="s">
        <v>49</v>
      </c>
      <c r="F22" s="9">
        <v>5.05</v>
      </c>
      <c r="G22" s="10">
        <v>2012</v>
      </c>
      <c r="I22" s="16">
        <f t="shared" si="1"/>
        <v>5.05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6" t="s">
        <v>195</v>
      </c>
      <c r="C23" s="23" t="s">
        <v>17</v>
      </c>
      <c r="D23" s="23" t="s">
        <v>23</v>
      </c>
      <c r="E23" s="13" t="s">
        <v>49</v>
      </c>
      <c r="F23" s="24">
        <v>2.6</v>
      </c>
      <c r="G23" s="25">
        <v>2012</v>
      </c>
      <c r="I23" s="16">
        <f t="shared" si="1"/>
        <v>2.6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6" t="s">
        <v>779</v>
      </c>
      <c r="C24" s="4" t="s">
        <v>17</v>
      </c>
      <c r="D24" s="4" t="s">
        <v>48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6" t="s">
        <v>720</v>
      </c>
      <c r="C25" s="4" t="s">
        <v>17</v>
      </c>
      <c r="D25" s="4" t="s">
        <v>56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6" t="s">
        <v>735</v>
      </c>
      <c r="C26" s="4" t="s">
        <v>38</v>
      </c>
      <c r="D26" s="4" t="s">
        <v>21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698</v>
      </c>
      <c r="C27" s="4" t="s">
        <v>38</v>
      </c>
      <c r="D27" s="4" t="s">
        <v>27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352</v>
      </c>
      <c r="C28" s="4" t="s">
        <v>19</v>
      </c>
      <c r="D28" s="4" t="s">
        <v>56</v>
      </c>
      <c r="E28" s="13" t="s">
        <v>49</v>
      </c>
      <c r="F28" s="14">
        <v>1.1</v>
      </c>
      <c r="G28" s="1">
        <v>2012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6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112.39999999999998</v>
      </c>
      <c r="J34" s="17">
        <f>+SUM(J5:J32)</f>
        <v>78.95</v>
      </c>
      <c r="K34" s="17">
        <f>+SUM(K5:K32)</f>
        <v>67.55</v>
      </c>
      <c r="L34" s="17">
        <f>+SUM(L5:L32)</f>
        <v>65.8</v>
      </c>
      <c r="M34" s="17">
        <f>+SUM(M5:M32)</f>
        <v>38.65</v>
      </c>
    </row>
    <row r="35" spans="9:13" ht="12.75">
      <c r="I35" s="17"/>
      <c r="J35" s="17"/>
      <c r="K35" s="17"/>
      <c r="L35" s="17"/>
      <c r="M35" s="17"/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480</v>
      </c>
      <c r="C40" s="4" t="s">
        <v>17</v>
      </c>
      <c r="D40" s="4" t="s">
        <v>56</v>
      </c>
      <c r="E40" s="4" t="s">
        <v>81</v>
      </c>
      <c r="F40" s="18">
        <v>8.1</v>
      </c>
      <c r="G40" s="4">
        <v>2015</v>
      </c>
      <c r="I40" s="16">
        <f aca="true" t="shared" si="3" ref="I40:I45">+CEILING(IF($I$38&lt;=G40,F40*0.3,0),0.05)</f>
        <v>2.45</v>
      </c>
      <c r="J40" s="16">
        <f aca="true" t="shared" si="4" ref="J40:J45">+CEILING(IF($J$38&lt;=G40,F40*0.3,0),0.05)</f>
        <v>2.45</v>
      </c>
      <c r="K40" s="16">
        <f aca="true" t="shared" si="5" ref="K40:K45">+CEILING(IF($K$38&lt;=G40,F40*0.3,0),0.05)</f>
        <v>2.45</v>
      </c>
      <c r="L40" s="16">
        <f aca="true" t="shared" si="6" ref="L40:L45">+CEILING(IF($L$38&lt;=G40,F40*0.3,0),0.05)</f>
        <v>2.45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 t="s">
        <v>437</v>
      </c>
      <c r="C41" s="4" t="s">
        <v>19</v>
      </c>
      <c r="D41" s="4" t="s">
        <v>116</v>
      </c>
      <c r="E41" s="13" t="s">
        <v>81</v>
      </c>
      <c r="F41" s="14">
        <v>7.15</v>
      </c>
      <c r="G41" s="1">
        <v>2015</v>
      </c>
      <c r="I41" s="16">
        <f t="shared" si="3"/>
        <v>2.15</v>
      </c>
      <c r="J41" s="16">
        <f t="shared" si="4"/>
        <v>2.15</v>
      </c>
      <c r="K41" s="16">
        <f t="shared" si="5"/>
        <v>2.15</v>
      </c>
      <c r="L41" s="16">
        <f t="shared" si="6"/>
        <v>2.15</v>
      </c>
      <c r="M41" s="16">
        <f t="shared" si="7"/>
        <v>0</v>
      </c>
    </row>
    <row r="42" spans="1:13" ht="12.75">
      <c r="A42" s="8">
        <v>3</v>
      </c>
      <c r="B42" s="15" t="s">
        <v>191</v>
      </c>
      <c r="C42" s="4" t="s">
        <v>19</v>
      </c>
      <c r="D42" s="4" t="s">
        <v>22</v>
      </c>
      <c r="E42" s="13" t="s">
        <v>81</v>
      </c>
      <c r="F42" s="14">
        <v>4.85</v>
      </c>
      <c r="G42" s="1">
        <v>2012</v>
      </c>
      <c r="I42" s="16">
        <f t="shared" si="3"/>
        <v>1.5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193</v>
      </c>
      <c r="C43" s="4" t="s">
        <v>19</v>
      </c>
      <c r="D43" s="4" t="s">
        <v>23</v>
      </c>
      <c r="E43" s="13" t="s">
        <v>81</v>
      </c>
      <c r="F43" s="14">
        <v>0.9</v>
      </c>
      <c r="G43" s="1">
        <v>2012</v>
      </c>
      <c r="I43" s="16">
        <f t="shared" si="3"/>
        <v>0.30000000000000004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194</v>
      </c>
      <c r="C44" s="4" t="s">
        <v>18</v>
      </c>
      <c r="D44" s="4" t="s">
        <v>33</v>
      </c>
      <c r="E44" s="13" t="s">
        <v>81</v>
      </c>
      <c r="F44" s="14">
        <v>0.9</v>
      </c>
      <c r="G44" s="1">
        <v>2012</v>
      </c>
      <c r="I44" s="16">
        <f t="shared" si="3"/>
        <v>0.30000000000000004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4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6.699999999999999</v>
      </c>
      <c r="J47" s="12">
        <f>+SUM(J40:J46)</f>
        <v>4.6</v>
      </c>
      <c r="K47" s="12">
        <f>+SUM(K40:K46)</f>
        <v>4.6</v>
      </c>
      <c r="L47" s="12">
        <f>+SUM(L40:L46)</f>
        <v>4.6</v>
      </c>
      <c r="M47" s="12">
        <f>+SUM(M40:M46)</f>
        <v>0</v>
      </c>
    </row>
    <row r="48" spans="9:13" ht="12.75">
      <c r="I48" s="17"/>
      <c r="J48" s="17"/>
      <c r="K48" s="17"/>
      <c r="L48" s="17"/>
      <c r="M48" s="17"/>
    </row>
    <row r="49" spans="1:13" ht="15.75">
      <c r="A49" s="104" t="s">
        <v>51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ht="7.5" customHeight="1"/>
    <row r="51" spans="2:13" ht="12.75">
      <c r="B51" s="5" t="s">
        <v>1</v>
      </c>
      <c r="C51" s="6" t="s">
        <v>13</v>
      </c>
      <c r="D51" s="6" t="s">
        <v>4</v>
      </c>
      <c r="E51" s="6" t="s">
        <v>6</v>
      </c>
      <c r="F51" s="6" t="s">
        <v>3</v>
      </c>
      <c r="G51" s="6" t="s">
        <v>14</v>
      </c>
      <c r="I51" s="7">
        <f>+I$3</f>
        <v>2012</v>
      </c>
      <c r="J51" s="7">
        <f>+J$3</f>
        <v>2013</v>
      </c>
      <c r="K51" s="7">
        <f>+K$3</f>
        <v>2014</v>
      </c>
      <c r="L51" s="7">
        <f>+L$3</f>
        <v>2015</v>
      </c>
      <c r="M51" s="7">
        <f>+M$3</f>
        <v>2016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137</v>
      </c>
      <c r="C53" s="4" t="s">
        <v>17</v>
      </c>
      <c r="D53" s="4" t="s">
        <v>20</v>
      </c>
      <c r="E53" s="13">
        <v>2012</v>
      </c>
      <c r="F53" s="14">
        <v>6.15</v>
      </c>
      <c r="G53" s="1">
        <v>2013</v>
      </c>
      <c r="I53" s="16">
        <f aca="true" t="shared" si="8" ref="I53:I60">+CEILING(IF($I$51=E53,F53,IF($I$51&lt;=G53,F53*0.3,0)),0.05)</f>
        <v>6.15</v>
      </c>
      <c r="J53" s="16">
        <f aca="true" t="shared" si="9" ref="J53:J60">+CEILING(IF($J$51&lt;=G53,F53*0.3,0),0.05)</f>
        <v>1.85</v>
      </c>
      <c r="K53" s="16">
        <f aca="true" t="shared" si="10" ref="K53:K60">+CEILING(IF($K$51&lt;=G53,F53*0.3,0),0.05)</f>
        <v>0</v>
      </c>
      <c r="L53" s="16">
        <f aca="true" t="shared" si="11" ref="L53:L60">+CEILING(IF($L$51&lt;=G53,F53*0.3,0),0.05)</f>
        <v>0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266</v>
      </c>
      <c r="C54" s="4" t="s">
        <v>19</v>
      </c>
      <c r="D54" s="4" t="s">
        <v>16</v>
      </c>
      <c r="E54" s="13">
        <v>2009</v>
      </c>
      <c r="F54" s="14">
        <v>2.15</v>
      </c>
      <c r="G54" s="1">
        <v>2013</v>
      </c>
      <c r="I54" s="16">
        <f t="shared" si="8"/>
        <v>0.65</v>
      </c>
      <c r="J54" s="16">
        <f t="shared" si="9"/>
        <v>0.65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253</v>
      </c>
      <c r="C55" s="13" t="s">
        <v>41</v>
      </c>
      <c r="D55" s="13" t="s">
        <v>30</v>
      </c>
      <c r="E55" s="13">
        <v>2010</v>
      </c>
      <c r="F55" s="14">
        <v>1.9</v>
      </c>
      <c r="G55" s="1">
        <v>2013</v>
      </c>
      <c r="I55" s="16">
        <f t="shared" si="8"/>
        <v>0.6000000000000001</v>
      </c>
      <c r="J55" s="16">
        <f t="shared" si="9"/>
        <v>0.6000000000000001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267</v>
      </c>
      <c r="C56" s="4" t="s">
        <v>38</v>
      </c>
      <c r="D56" s="4" t="s">
        <v>27</v>
      </c>
      <c r="E56" s="13">
        <v>2010</v>
      </c>
      <c r="F56" s="14">
        <v>1</v>
      </c>
      <c r="G56" s="1">
        <v>2013</v>
      </c>
      <c r="I56" s="16">
        <f t="shared" si="8"/>
        <v>0.30000000000000004</v>
      </c>
      <c r="J56" s="16">
        <f t="shared" si="9"/>
        <v>0.30000000000000004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135</v>
      </c>
      <c r="C57" s="4" t="s">
        <v>17</v>
      </c>
      <c r="D57" s="4" t="s">
        <v>29</v>
      </c>
      <c r="E57" s="13">
        <v>2011</v>
      </c>
      <c r="F57" s="14">
        <v>10.55</v>
      </c>
      <c r="G57" s="1">
        <v>2012</v>
      </c>
      <c r="I57" s="16">
        <f t="shared" si="8"/>
        <v>3.2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314</v>
      </c>
      <c r="C58" s="4" t="s">
        <v>17</v>
      </c>
      <c r="D58" s="4" t="s">
        <v>27</v>
      </c>
      <c r="E58" s="13">
        <v>2012</v>
      </c>
      <c r="F58" s="14">
        <v>7.05</v>
      </c>
      <c r="G58" s="1">
        <v>2012</v>
      </c>
      <c r="I58" s="16">
        <f t="shared" si="8"/>
        <v>7.050000000000001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128</v>
      </c>
      <c r="C59" s="4" t="s">
        <v>41</v>
      </c>
      <c r="D59" s="4" t="s">
        <v>35</v>
      </c>
      <c r="E59" s="13">
        <v>2010</v>
      </c>
      <c r="F59" s="14">
        <v>6.3</v>
      </c>
      <c r="G59" s="1">
        <v>2012</v>
      </c>
      <c r="I59" s="16">
        <f t="shared" si="8"/>
        <v>1.9000000000000001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192</v>
      </c>
      <c r="C60" s="4" t="s">
        <v>17</v>
      </c>
      <c r="D60" s="4" t="s">
        <v>48</v>
      </c>
      <c r="E60" s="13">
        <v>2012</v>
      </c>
      <c r="F60" s="14">
        <v>2.15</v>
      </c>
      <c r="G60" s="1">
        <v>2012</v>
      </c>
      <c r="I60" s="16">
        <f t="shared" si="8"/>
        <v>2.15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34" t="s">
        <v>728</v>
      </c>
      <c r="C61" s="13" t="s">
        <v>17</v>
      </c>
      <c r="D61" s="13" t="s">
        <v>45</v>
      </c>
      <c r="E61" s="13">
        <v>2012</v>
      </c>
      <c r="F61" s="14">
        <v>1.3</v>
      </c>
      <c r="G61" s="1">
        <v>2012</v>
      </c>
      <c r="I61" s="16">
        <f aca="true" t="shared" si="13" ref="I61:I67">+CEILING(IF($I$51=E61,F61,IF($I$51&lt;=G61,F61*0.3,0)),0.05)</f>
        <v>1.3</v>
      </c>
      <c r="J61" s="16">
        <f aca="true" t="shared" si="14" ref="J61:J67">+CEILING(IF($J$51&lt;=G61,F61*0.3,0),0.05)</f>
        <v>0</v>
      </c>
      <c r="K61" s="16">
        <f aca="true" t="shared" si="15" ref="K61:K67">+CEILING(IF($K$51&lt;=G61,F61*0.3,0),0.05)</f>
        <v>0</v>
      </c>
      <c r="L61" s="16">
        <f aca="true" t="shared" si="16" ref="L61:L67">+CEILING(IF($L$51&lt;=G61,F61*0.3,0),0.05)</f>
        <v>0</v>
      </c>
      <c r="M61" s="16">
        <f aca="true" t="shared" si="17" ref="M61:M67">CEILING(IF($M$51&lt;=G61,F61*0.3,0),0.05)</f>
        <v>0</v>
      </c>
    </row>
    <row r="62" spans="1:13" ht="12.75">
      <c r="A62" s="8">
        <v>10</v>
      </c>
      <c r="B62" s="34" t="s">
        <v>767</v>
      </c>
      <c r="C62" s="13" t="s">
        <v>17</v>
      </c>
      <c r="D62" s="13" t="s">
        <v>46</v>
      </c>
      <c r="E62" s="13">
        <v>2012</v>
      </c>
      <c r="F62" s="14">
        <v>1.3</v>
      </c>
      <c r="G62" s="1">
        <v>2012</v>
      </c>
      <c r="I62" s="16">
        <f t="shared" si="13"/>
        <v>1.3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1" t="s">
        <v>351</v>
      </c>
      <c r="C63" s="4" t="s">
        <v>38</v>
      </c>
      <c r="D63" s="47" t="s">
        <v>56</v>
      </c>
      <c r="E63" s="13">
        <v>2011</v>
      </c>
      <c r="F63" s="14">
        <v>1.1</v>
      </c>
      <c r="G63" s="1">
        <v>2012</v>
      </c>
      <c r="I63" s="16">
        <f t="shared" si="13"/>
        <v>0.35000000000000003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1" t="s">
        <v>150</v>
      </c>
      <c r="C64" s="4" t="s">
        <v>41</v>
      </c>
      <c r="D64" s="4" t="s">
        <v>40</v>
      </c>
      <c r="E64" s="13">
        <v>2008</v>
      </c>
      <c r="F64" s="14">
        <v>0.9</v>
      </c>
      <c r="G64" s="1">
        <v>2012</v>
      </c>
      <c r="I64" s="16">
        <f t="shared" si="13"/>
        <v>0.30000000000000004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1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/>
      <c r="D67" s="4"/>
      <c r="E67" s="13"/>
      <c r="F67" s="14"/>
      <c r="G67" s="1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9:13" ht="7.5" customHeight="1">
      <c r="I68" s="15"/>
      <c r="J68" s="15"/>
      <c r="K68" s="15"/>
      <c r="L68" s="15"/>
      <c r="M68" s="15"/>
    </row>
    <row r="69" spans="9:13" ht="12.75">
      <c r="I69" s="17">
        <f>+SUM(I53:I68)</f>
        <v>25.250000000000004</v>
      </c>
      <c r="J69" s="17">
        <f>+SUM(J53:J68)</f>
        <v>3.4000000000000004</v>
      </c>
      <c r="K69" s="17">
        <f>+SUM(K53:K68)</f>
        <v>0</v>
      </c>
      <c r="L69" s="17">
        <f>+SUM(L53:L68)</f>
        <v>0</v>
      </c>
      <c r="M69" s="17">
        <f>+SUM(M53:M68)</f>
        <v>0</v>
      </c>
    </row>
    <row r="70" spans="9:13" ht="12.75">
      <c r="I70" s="12"/>
      <c r="J70" s="12"/>
      <c r="K70" s="12"/>
      <c r="L70" s="12"/>
      <c r="M70" s="12"/>
    </row>
    <row r="71" spans="1:13" ht="15.75">
      <c r="A71" s="104" t="s">
        <v>52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9:13" ht="7.5" customHeight="1">
      <c r="I72" s="12"/>
      <c r="J72" s="12"/>
      <c r="K72" s="12"/>
      <c r="L72" s="12"/>
      <c r="M72" s="12"/>
    </row>
    <row r="73" spans="1:13" ht="12.75">
      <c r="A73" s="8"/>
      <c r="B73" s="5" t="s">
        <v>55</v>
      </c>
      <c r="C73" s="6"/>
      <c r="D73" s="6"/>
      <c r="E73" s="6"/>
      <c r="F73" s="6" t="s">
        <v>54</v>
      </c>
      <c r="G73" s="6" t="s">
        <v>53</v>
      </c>
      <c r="I73" s="7">
        <f>+I$3</f>
        <v>2012</v>
      </c>
      <c r="J73" s="7">
        <f>+J$3</f>
        <v>2013</v>
      </c>
      <c r="K73" s="7">
        <f>+K$3</f>
        <v>2014</v>
      </c>
      <c r="L73" s="7">
        <f>+L$3</f>
        <v>2015</v>
      </c>
      <c r="M73" s="7">
        <f>+M$3</f>
        <v>2016</v>
      </c>
    </row>
    <row r="74" spans="1:13" ht="7.5" customHeight="1">
      <c r="A74" s="8"/>
      <c r="I74" s="20"/>
      <c r="J74" s="20"/>
      <c r="K74" s="20"/>
      <c r="L74" s="20"/>
      <c r="M74" s="20"/>
    </row>
    <row r="75" spans="1:13" ht="12.75">
      <c r="A75" s="8">
        <v>1</v>
      </c>
      <c r="B75" s="102" t="s">
        <v>290</v>
      </c>
      <c r="C75" s="102"/>
      <c r="D75" s="102"/>
      <c r="E75" s="102"/>
      <c r="F75" s="3">
        <v>4.85</v>
      </c>
      <c r="G75" s="1">
        <v>2012</v>
      </c>
      <c r="I75" s="29">
        <f>F75</f>
        <v>4.85</v>
      </c>
      <c r="J75" s="29">
        <v>0</v>
      </c>
      <c r="K75" s="29">
        <v>0</v>
      </c>
      <c r="L75" s="29">
        <v>0</v>
      </c>
      <c r="M75" s="29">
        <v>0</v>
      </c>
    </row>
    <row r="76" spans="1:13" ht="12.75">
      <c r="A76" s="8">
        <v>2</v>
      </c>
      <c r="B76" s="102"/>
      <c r="C76" s="102"/>
      <c r="D76" s="102"/>
      <c r="E76" s="102"/>
      <c r="G76" s="1"/>
      <c r="I76" s="29"/>
      <c r="J76" s="29"/>
      <c r="K76" s="29"/>
      <c r="L76" s="29"/>
      <c r="M76" s="29"/>
    </row>
    <row r="77" spans="1:13" ht="7.5" customHeight="1">
      <c r="A77" s="8"/>
      <c r="I77" s="20"/>
      <c r="J77" s="20"/>
      <c r="K77" s="20"/>
      <c r="L77" s="20"/>
      <c r="M77" s="20"/>
    </row>
    <row r="78" spans="1:13" ht="12.75">
      <c r="A78" s="8"/>
      <c r="I78" s="12">
        <f>+SUM(I75:I77)</f>
        <v>4.85</v>
      </c>
      <c r="J78" s="12">
        <f>+SUM(J75:J77)</f>
        <v>0</v>
      </c>
      <c r="K78" s="12">
        <f>+SUM(K75:K77)</f>
        <v>0</v>
      </c>
      <c r="L78" s="12">
        <f>+SUM(L75:L77)</f>
        <v>0</v>
      </c>
      <c r="M78" s="12">
        <f>+SUM(M75:M77)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6">
    <mergeCell ref="B75:E75"/>
    <mergeCell ref="B76:E76"/>
    <mergeCell ref="A1:M1"/>
    <mergeCell ref="A36:M36"/>
    <mergeCell ref="A49:M49"/>
    <mergeCell ref="A71:M7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591</v>
      </c>
      <c r="C5" s="4" t="s">
        <v>17</v>
      </c>
      <c r="D5" s="4" t="s">
        <v>23</v>
      </c>
      <c r="E5" s="13" t="s">
        <v>49</v>
      </c>
      <c r="F5" s="9">
        <v>11.5</v>
      </c>
      <c r="G5" s="10">
        <v>2016</v>
      </c>
      <c r="I5" s="16">
        <f aca="true" t="shared" si="0" ref="I5:M14">+IF($G5&gt;=I$3,$F5,0)</f>
        <v>11.5</v>
      </c>
      <c r="J5" s="16">
        <f t="shared" si="0"/>
        <v>11.5</v>
      </c>
      <c r="K5" s="16">
        <f t="shared" si="0"/>
        <v>11.5</v>
      </c>
      <c r="L5" s="16">
        <f t="shared" si="0"/>
        <v>11.5</v>
      </c>
      <c r="M5" s="16">
        <f t="shared" si="0"/>
        <v>11.5</v>
      </c>
    </row>
    <row r="6" spans="1:13" ht="12.75">
      <c r="A6" s="8">
        <v>2</v>
      </c>
      <c r="B6" s="46" t="s">
        <v>476</v>
      </c>
      <c r="C6" s="4" t="s">
        <v>17</v>
      </c>
      <c r="D6" s="4" t="s">
        <v>33</v>
      </c>
      <c r="E6" s="13" t="s">
        <v>49</v>
      </c>
      <c r="F6" s="14">
        <v>11.35</v>
      </c>
      <c r="G6" s="1">
        <v>2015</v>
      </c>
      <c r="I6" s="16">
        <f t="shared" si="0"/>
        <v>11.35</v>
      </c>
      <c r="J6" s="16">
        <f t="shared" si="0"/>
        <v>11.35</v>
      </c>
      <c r="K6" s="16">
        <f t="shared" si="0"/>
        <v>11.35</v>
      </c>
      <c r="L6" s="16">
        <f t="shared" si="0"/>
        <v>11.35</v>
      </c>
      <c r="M6" s="16">
        <f t="shared" si="0"/>
        <v>0</v>
      </c>
    </row>
    <row r="7" spans="1:13" ht="12.75">
      <c r="A7" s="8">
        <v>3</v>
      </c>
      <c r="B7" s="26" t="s">
        <v>491</v>
      </c>
      <c r="C7" s="4" t="s">
        <v>18</v>
      </c>
      <c r="D7" s="4" t="s">
        <v>33</v>
      </c>
      <c r="E7" s="13" t="s">
        <v>49</v>
      </c>
      <c r="F7" s="14">
        <v>4.45</v>
      </c>
      <c r="G7" s="1">
        <v>2015</v>
      </c>
      <c r="I7" s="16">
        <f t="shared" si="0"/>
        <v>4.45</v>
      </c>
      <c r="J7" s="16">
        <f t="shared" si="0"/>
        <v>4.45</v>
      </c>
      <c r="K7" s="16">
        <f t="shared" si="0"/>
        <v>4.45</v>
      </c>
      <c r="L7" s="16">
        <f t="shared" si="0"/>
        <v>4.45</v>
      </c>
      <c r="M7" s="16">
        <f t="shared" si="0"/>
        <v>0</v>
      </c>
    </row>
    <row r="8" spans="1:13" ht="12.75">
      <c r="A8" s="8">
        <v>4</v>
      </c>
      <c r="B8" s="46" t="s">
        <v>490</v>
      </c>
      <c r="C8" s="4" t="s">
        <v>17</v>
      </c>
      <c r="D8" s="4" t="s">
        <v>24</v>
      </c>
      <c r="E8" s="13" t="s">
        <v>49</v>
      </c>
      <c r="F8" s="14">
        <v>1.3</v>
      </c>
      <c r="G8" s="1">
        <v>2015</v>
      </c>
      <c r="I8" s="16">
        <f t="shared" si="0"/>
        <v>1.3</v>
      </c>
      <c r="J8" s="16">
        <f t="shared" si="0"/>
        <v>1.3</v>
      </c>
      <c r="K8" s="16">
        <f t="shared" si="0"/>
        <v>1.3</v>
      </c>
      <c r="L8" s="16">
        <f t="shared" si="0"/>
        <v>1.3</v>
      </c>
      <c r="M8" s="16">
        <f t="shared" si="0"/>
        <v>0</v>
      </c>
    </row>
    <row r="9" spans="1:13" ht="12.75">
      <c r="A9" s="8">
        <v>5</v>
      </c>
      <c r="B9" s="21" t="s">
        <v>394</v>
      </c>
      <c r="C9" s="4" t="s">
        <v>17</v>
      </c>
      <c r="D9" s="4" t="s">
        <v>57</v>
      </c>
      <c r="E9" s="13" t="s">
        <v>49</v>
      </c>
      <c r="F9" s="14">
        <v>3.25</v>
      </c>
      <c r="G9" s="1">
        <v>2014</v>
      </c>
      <c r="I9" s="16">
        <f t="shared" si="0"/>
        <v>3.25</v>
      </c>
      <c r="J9" s="16">
        <f t="shared" si="0"/>
        <v>3.25</v>
      </c>
      <c r="K9" s="16">
        <f t="shared" si="0"/>
        <v>3.25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123</v>
      </c>
      <c r="C10" s="4" t="s">
        <v>38</v>
      </c>
      <c r="D10" s="4" t="s">
        <v>21</v>
      </c>
      <c r="E10" s="13" t="s">
        <v>49</v>
      </c>
      <c r="F10" s="14">
        <v>12.65</v>
      </c>
      <c r="G10" s="1">
        <v>2012</v>
      </c>
      <c r="I10" s="16">
        <f t="shared" si="0"/>
        <v>12.65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140</v>
      </c>
      <c r="C11" s="4" t="s">
        <v>19</v>
      </c>
      <c r="D11" s="47" t="s">
        <v>116</v>
      </c>
      <c r="E11" s="13" t="s">
        <v>49</v>
      </c>
      <c r="F11" s="14">
        <v>7.55</v>
      </c>
      <c r="G11" s="1">
        <v>2012</v>
      </c>
      <c r="I11" s="16">
        <f t="shared" si="0"/>
        <v>7.55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139</v>
      </c>
      <c r="C12" s="47" t="s">
        <v>18</v>
      </c>
      <c r="D12" s="47" t="s">
        <v>20</v>
      </c>
      <c r="E12" s="13" t="s">
        <v>49</v>
      </c>
      <c r="F12" s="14">
        <v>5.15</v>
      </c>
      <c r="G12" s="1">
        <v>2012</v>
      </c>
      <c r="I12" s="16">
        <f t="shared" si="0"/>
        <v>5.15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354</v>
      </c>
      <c r="C13" s="47" t="s">
        <v>19</v>
      </c>
      <c r="D13" s="47" t="s">
        <v>33</v>
      </c>
      <c r="E13" s="13" t="s">
        <v>49</v>
      </c>
      <c r="F13" s="14">
        <v>5.1</v>
      </c>
      <c r="G13" s="1">
        <v>2012</v>
      </c>
      <c r="I13" s="16">
        <f t="shared" si="0"/>
        <v>5.1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6" t="s">
        <v>575</v>
      </c>
      <c r="C14" s="4" t="s">
        <v>41</v>
      </c>
      <c r="D14" s="4" t="s">
        <v>24</v>
      </c>
      <c r="E14" s="13" t="s">
        <v>49</v>
      </c>
      <c r="F14" s="14">
        <v>4.95</v>
      </c>
      <c r="G14" s="1">
        <v>2012</v>
      </c>
      <c r="I14" s="16">
        <f t="shared" si="0"/>
        <v>4.95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330</v>
      </c>
      <c r="C15" s="4" t="s">
        <v>17</v>
      </c>
      <c r="D15" s="47" t="s">
        <v>39</v>
      </c>
      <c r="E15" s="13" t="s">
        <v>49</v>
      </c>
      <c r="F15" s="14">
        <v>4.7</v>
      </c>
      <c r="G15" s="1">
        <v>2012</v>
      </c>
      <c r="I15" s="16">
        <f aca="true" t="shared" si="1" ref="I15:M24">+IF($G15&gt;=I$3,$F15,0)</f>
        <v>4.7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103</v>
      </c>
      <c r="C16" s="4" t="s">
        <v>17</v>
      </c>
      <c r="D16" s="4" t="s">
        <v>33</v>
      </c>
      <c r="E16" s="13" t="s">
        <v>49</v>
      </c>
      <c r="F16" s="14">
        <v>3</v>
      </c>
      <c r="G16" s="1">
        <v>2012</v>
      </c>
      <c r="I16" s="16">
        <f t="shared" si="1"/>
        <v>3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164</v>
      </c>
      <c r="C17" s="4" t="s">
        <v>17</v>
      </c>
      <c r="D17" s="4" t="s">
        <v>39</v>
      </c>
      <c r="E17" s="13" t="s">
        <v>49</v>
      </c>
      <c r="F17" s="14">
        <v>2.8</v>
      </c>
      <c r="G17" s="1">
        <v>2012</v>
      </c>
      <c r="I17" s="16">
        <f t="shared" si="1"/>
        <v>2.8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6" t="s">
        <v>526</v>
      </c>
      <c r="C18" s="4" t="s">
        <v>17</v>
      </c>
      <c r="D18" s="4" t="s">
        <v>37</v>
      </c>
      <c r="E18" s="13" t="s">
        <v>49</v>
      </c>
      <c r="F18" s="14">
        <v>2.75</v>
      </c>
      <c r="G18" s="1">
        <v>2012</v>
      </c>
      <c r="I18" s="16">
        <f t="shared" si="1"/>
        <v>2.75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207</v>
      </c>
      <c r="C19" s="4" t="s">
        <v>17</v>
      </c>
      <c r="D19" s="4" t="s">
        <v>43</v>
      </c>
      <c r="E19" s="13" t="s">
        <v>49</v>
      </c>
      <c r="F19" s="9">
        <v>2.65</v>
      </c>
      <c r="G19" s="10">
        <v>2012</v>
      </c>
      <c r="I19" s="16">
        <f t="shared" si="1"/>
        <v>2.65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483</v>
      </c>
      <c r="C20" s="4" t="s">
        <v>31</v>
      </c>
      <c r="D20" s="4" t="s">
        <v>22</v>
      </c>
      <c r="E20" s="13" t="s">
        <v>49</v>
      </c>
      <c r="F20" s="14">
        <v>2.65</v>
      </c>
      <c r="G20" s="1">
        <v>2012</v>
      </c>
      <c r="I20" s="16">
        <f t="shared" si="1"/>
        <v>2.65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356</v>
      </c>
      <c r="C21" s="13" t="s">
        <v>38</v>
      </c>
      <c r="D21" s="13" t="s">
        <v>33</v>
      </c>
      <c r="E21" s="13" t="s">
        <v>49</v>
      </c>
      <c r="F21" s="14">
        <v>2.35</v>
      </c>
      <c r="G21" s="1">
        <v>2012</v>
      </c>
      <c r="I21" s="16">
        <f t="shared" si="1"/>
        <v>2.35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4" t="s">
        <v>644</v>
      </c>
      <c r="C22" s="4" t="s">
        <v>15</v>
      </c>
      <c r="D22" s="47" t="s">
        <v>47</v>
      </c>
      <c r="E22" s="13" t="s">
        <v>49</v>
      </c>
      <c r="F22" s="14">
        <v>2.35</v>
      </c>
      <c r="G22" s="1">
        <v>2012</v>
      </c>
      <c r="I22" s="16">
        <f t="shared" si="1"/>
        <v>2.35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6" t="s">
        <v>628</v>
      </c>
      <c r="C23" s="4" t="s">
        <v>26</v>
      </c>
      <c r="D23" s="4" t="s">
        <v>24</v>
      </c>
      <c r="E23" s="13" t="s">
        <v>49</v>
      </c>
      <c r="F23" s="14">
        <v>1.3</v>
      </c>
      <c r="G23" s="1">
        <v>2012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6" t="s">
        <v>717</v>
      </c>
      <c r="C24" s="4" t="s">
        <v>17</v>
      </c>
      <c r="D24" s="4" t="s">
        <v>25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6" t="s">
        <v>805</v>
      </c>
      <c r="C25" s="4" t="s">
        <v>17</v>
      </c>
      <c r="D25" s="4" t="s">
        <v>24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4" t="s">
        <v>730</v>
      </c>
      <c r="C26" s="4" t="s">
        <v>38</v>
      </c>
      <c r="D26" s="47" t="s">
        <v>33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524</v>
      </c>
      <c r="C27" s="4" t="s">
        <v>15</v>
      </c>
      <c r="D27" s="4" t="s">
        <v>24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5" t="s">
        <v>764</v>
      </c>
      <c r="C28" s="4" t="s">
        <v>19</v>
      </c>
      <c r="D28" s="47" t="s">
        <v>27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753</v>
      </c>
      <c r="C29" s="4" t="s">
        <v>19</v>
      </c>
      <c r="D29" s="4" t="s">
        <v>37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800</v>
      </c>
      <c r="C30" s="4" t="s">
        <v>26</v>
      </c>
      <c r="D30" s="4" t="s">
        <v>45</v>
      </c>
      <c r="E30" s="13" t="s">
        <v>49</v>
      </c>
      <c r="F30" s="18">
        <v>1.3</v>
      </c>
      <c r="G30" s="4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390</v>
      </c>
      <c r="C31" s="4" t="s">
        <v>19</v>
      </c>
      <c r="D31" s="4" t="s">
        <v>47</v>
      </c>
      <c r="E31" s="13" t="s">
        <v>49</v>
      </c>
      <c r="F31" s="14">
        <v>1.1</v>
      </c>
      <c r="G31" s="1">
        <v>2012</v>
      </c>
      <c r="I31" s="16">
        <f t="shared" si="2"/>
        <v>1.1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407</v>
      </c>
      <c r="C32" s="4" t="s">
        <v>19</v>
      </c>
      <c r="D32" s="4" t="s">
        <v>21</v>
      </c>
      <c r="E32" s="13" t="s">
        <v>49</v>
      </c>
      <c r="F32" s="14">
        <v>1.1</v>
      </c>
      <c r="G32" s="1">
        <v>2012</v>
      </c>
      <c r="I32" s="16">
        <f t="shared" si="2"/>
        <v>1.1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9"/>
      <c r="G34" s="10"/>
      <c r="I34" s="17">
        <f>+SUM(I5:I32)</f>
        <v>103.09999999999997</v>
      </c>
      <c r="J34" s="17">
        <f>+SUM(J5:J32)</f>
        <v>31.85</v>
      </c>
      <c r="K34" s="17">
        <f>+SUM(K5:K32)</f>
        <v>31.85</v>
      </c>
      <c r="L34" s="17">
        <f>+SUM(L5:L32)</f>
        <v>28.6</v>
      </c>
      <c r="M34" s="17">
        <f>+SUM(M5:M32)</f>
        <v>11.5</v>
      </c>
    </row>
    <row r="36" spans="1:13" ht="15.75">
      <c r="A36" s="105" t="s">
        <v>58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+I3</f>
        <v>2012</v>
      </c>
      <c r="J38" s="7">
        <f>+J3</f>
        <v>2013</v>
      </c>
      <c r="K38" s="7">
        <f>+K3</f>
        <v>2014</v>
      </c>
      <c r="L38" s="7">
        <f>+L3</f>
        <v>2015</v>
      </c>
      <c r="M38" s="7">
        <f>+M3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165</v>
      </c>
      <c r="C40" s="4" t="s">
        <v>38</v>
      </c>
      <c r="D40" s="4" t="s">
        <v>27</v>
      </c>
      <c r="E40" s="13" t="s">
        <v>81</v>
      </c>
      <c r="F40" s="14">
        <v>4.65</v>
      </c>
      <c r="G40" s="1">
        <v>2012</v>
      </c>
      <c r="I40" s="16">
        <f aca="true" t="shared" si="3" ref="I40:I46">+CEILING(IF($I$38&lt;=G40,F40*0.3,0),0.05)</f>
        <v>1.4000000000000001</v>
      </c>
      <c r="J40" s="16">
        <f aca="true" t="shared" si="4" ref="J40:J46">+CEILING(IF($J$38&lt;=G40,F40*0.3,0),0.05)</f>
        <v>0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1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4"/>
      <c r="D43" s="47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32"/>
      <c r="F44" s="30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/>
      <c r="C46" s="22"/>
      <c r="D46" s="22"/>
      <c r="E46" s="28"/>
      <c r="F46" s="33"/>
      <c r="G46" s="32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1"/>
      <c r="J47" s="31"/>
      <c r="K47" s="31"/>
      <c r="L47" s="31"/>
      <c r="M47" s="31"/>
    </row>
    <row r="48" spans="1:13" ht="12.75">
      <c r="A48" s="8"/>
      <c r="I48" s="12">
        <f>+SUM(I40:I47)</f>
        <v>1.4000000000000001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329</v>
      </c>
      <c r="C54" s="4" t="s">
        <v>18</v>
      </c>
      <c r="D54" s="4" t="s">
        <v>48</v>
      </c>
      <c r="E54" s="13">
        <v>2011</v>
      </c>
      <c r="F54" s="14">
        <v>13.05</v>
      </c>
      <c r="G54" s="1">
        <v>2012</v>
      </c>
      <c r="I54" s="16">
        <f aca="true" t="shared" si="8" ref="I54:I63">+CEILING(IF($I$52=E54,F54,IF($I$52&lt;=G54,F54*0.3,0)),0.05)</f>
        <v>3.95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7" t="s">
        <v>139</v>
      </c>
      <c r="C55" s="47" t="s">
        <v>18</v>
      </c>
      <c r="D55" s="47" t="s">
        <v>20</v>
      </c>
      <c r="E55" s="13">
        <v>2012</v>
      </c>
      <c r="F55" s="14">
        <v>5.15</v>
      </c>
      <c r="G55" s="1">
        <v>2012</v>
      </c>
      <c r="I55" s="16">
        <f t="shared" si="8"/>
        <v>5.15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750</v>
      </c>
      <c r="C56" s="4" t="s">
        <v>19</v>
      </c>
      <c r="D56" s="4" t="s">
        <v>32</v>
      </c>
      <c r="E56" s="13">
        <v>2012</v>
      </c>
      <c r="F56" s="18">
        <v>1.3</v>
      </c>
      <c r="G56" s="4">
        <v>2012</v>
      </c>
      <c r="I56" s="16">
        <f t="shared" si="8"/>
        <v>1.3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6" t="s">
        <v>725</v>
      </c>
      <c r="C57" s="4" t="s">
        <v>38</v>
      </c>
      <c r="D57" s="4" t="s">
        <v>56</v>
      </c>
      <c r="E57" s="13">
        <v>2012</v>
      </c>
      <c r="F57" s="14">
        <v>1.3</v>
      </c>
      <c r="G57" s="1">
        <v>2012</v>
      </c>
      <c r="I57" s="16">
        <f t="shared" si="8"/>
        <v>1.3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355</v>
      </c>
      <c r="C58" s="4" t="s">
        <v>26</v>
      </c>
      <c r="D58" s="4" t="s">
        <v>28</v>
      </c>
      <c r="E58" s="13">
        <v>2010</v>
      </c>
      <c r="F58" s="14">
        <v>1.1</v>
      </c>
      <c r="G58" s="1">
        <v>2012</v>
      </c>
      <c r="I58" s="16">
        <f t="shared" si="8"/>
        <v>0.35000000000000003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337</v>
      </c>
      <c r="C59" s="4" t="s">
        <v>17</v>
      </c>
      <c r="D59" s="47" t="s">
        <v>93</v>
      </c>
      <c r="E59" s="13">
        <v>2011</v>
      </c>
      <c r="F59" s="14">
        <v>1.1</v>
      </c>
      <c r="G59" s="1">
        <v>2012</v>
      </c>
      <c r="I59" s="16">
        <f>+CEILING(IF($I$52=E59,F59,IF($I$52&lt;=G59,F59*0.3,0)),0.05)</f>
        <v>0.35000000000000003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12.400000000000002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55</v>
      </c>
      <c r="C69" s="6"/>
      <c r="D69" s="6"/>
      <c r="E69" s="6"/>
      <c r="F69" s="6" t="s">
        <v>54</v>
      </c>
      <c r="G69" s="6" t="s">
        <v>53</v>
      </c>
      <c r="I69" s="7">
        <f>+I$3</f>
        <v>2012</v>
      </c>
      <c r="J69" s="7">
        <f>+J$3</f>
        <v>2013</v>
      </c>
      <c r="K69" s="7">
        <f>+K$3</f>
        <v>2014</v>
      </c>
      <c r="L69" s="7">
        <f>+L$3</f>
        <v>2015</v>
      </c>
      <c r="M69" s="7">
        <f>+M$3</f>
        <v>2016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102"/>
      <c r="C71" s="102"/>
      <c r="D71" s="102"/>
      <c r="E71" s="102"/>
      <c r="F71" s="18"/>
      <c r="G71" s="4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102"/>
      <c r="C72" s="102"/>
      <c r="D72" s="102"/>
      <c r="E72" s="102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46" t="s">
        <v>546</v>
      </c>
      <c r="C5" s="4" t="s">
        <v>19</v>
      </c>
      <c r="D5" s="47" t="s">
        <v>43</v>
      </c>
      <c r="E5" s="13" t="s">
        <v>49</v>
      </c>
      <c r="F5" s="14">
        <v>15.6</v>
      </c>
      <c r="G5" s="1">
        <v>2016</v>
      </c>
      <c r="I5" s="16">
        <f aca="true" t="shared" si="0" ref="I5:M14">+IF($G5&gt;=I$3,$F5,0)</f>
        <v>15.6</v>
      </c>
      <c r="J5" s="16">
        <f t="shared" si="0"/>
        <v>15.6</v>
      </c>
      <c r="K5" s="16">
        <f t="shared" si="0"/>
        <v>15.6</v>
      </c>
      <c r="L5" s="16">
        <f t="shared" si="0"/>
        <v>15.6</v>
      </c>
      <c r="M5" s="16">
        <f t="shared" si="0"/>
        <v>15.6</v>
      </c>
    </row>
    <row r="6" spans="1:13" ht="12.75">
      <c r="A6" s="8">
        <v>2</v>
      </c>
      <c r="B6" s="46" t="s">
        <v>597</v>
      </c>
      <c r="C6" s="4" t="s">
        <v>17</v>
      </c>
      <c r="D6" s="47" t="s">
        <v>35</v>
      </c>
      <c r="E6" s="13" t="s">
        <v>49</v>
      </c>
      <c r="F6" s="14">
        <v>7.3</v>
      </c>
      <c r="G6" s="1">
        <v>2016</v>
      </c>
      <c r="I6" s="16">
        <f t="shared" si="0"/>
        <v>7.3</v>
      </c>
      <c r="J6" s="16">
        <f t="shared" si="0"/>
        <v>7.3</v>
      </c>
      <c r="K6" s="16">
        <f t="shared" si="0"/>
        <v>7.3</v>
      </c>
      <c r="L6" s="16">
        <f t="shared" si="0"/>
        <v>7.3</v>
      </c>
      <c r="M6" s="16">
        <f t="shared" si="0"/>
        <v>7.3</v>
      </c>
    </row>
    <row r="7" spans="1:13" ht="12.75">
      <c r="A7" s="8">
        <v>3</v>
      </c>
      <c r="B7" s="46" t="s">
        <v>547</v>
      </c>
      <c r="C7" s="4" t="s">
        <v>31</v>
      </c>
      <c r="D7" s="4" t="s">
        <v>47</v>
      </c>
      <c r="E7" s="13" t="s">
        <v>49</v>
      </c>
      <c r="F7" s="14">
        <v>6.85</v>
      </c>
      <c r="G7" s="1">
        <v>2016</v>
      </c>
      <c r="I7" s="16">
        <f t="shared" si="0"/>
        <v>6.85</v>
      </c>
      <c r="J7" s="16">
        <f t="shared" si="0"/>
        <v>6.85</v>
      </c>
      <c r="K7" s="16">
        <f t="shared" si="0"/>
        <v>6.85</v>
      </c>
      <c r="L7" s="16">
        <f t="shared" si="0"/>
        <v>6.85</v>
      </c>
      <c r="M7" s="16">
        <f t="shared" si="0"/>
        <v>6.85</v>
      </c>
    </row>
    <row r="8" spans="1:13" ht="12.75">
      <c r="A8" s="8">
        <v>4</v>
      </c>
      <c r="B8" s="3" t="s">
        <v>596</v>
      </c>
      <c r="C8" s="4" t="s">
        <v>26</v>
      </c>
      <c r="D8" s="4" t="s">
        <v>25</v>
      </c>
      <c r="E8" s="4" t="s">
        <v>49</v>
      </c>
      <c r="F8" s="18">
        <v>2.2</v>
      </c>
      <c r="G8" s="4">
        <v>2016</v>
      </c>
      <c r="I8" s="16">
        <f t="shared" si="0"/>
        <v>2.2</v>
      </c>
      <c r="J8" s="16">
        <f t="shared" si="0"/>
        <v>2.2</v>
      </c>
      <c r="K8" s="16">
        <f t="shared" si="0"/>
        <v>2.2</v>
      </c>
      <c r="L8" s="16">
        <f t="shared" si="0"/>
        <v>2.2</v>
      </c>
      <c r="M8" s="16">
        <f t="shared" si="0"/>
        <v>2.2</v>
      </c>
    </row>
    <row r="9" spans="1:13" ht="12.75">
      <c r="A9" s="8">
        <v>5</v>
      </c>
      <c r="B9" s="46" t="s">
        <v>424</v>
      </c>
      <c r="C9" s="4" t="s">
        <v>19</v>
      </c>
      <c r="D9" s="47" t="s">
        <v>37</v>
      </c>
      <c r="E9" s="13" t="s">
        <v>49</v>
      </c>
      <c r="F9" s="14">
        <v>9.5</v>
      </c>
      <c r="G9" s="1">
        <v>2015</v>
      </c>
      <c r="I9" s="16">
        <f t="shared" si="0"/>
        <v>9.5</v>
      </c>
      <c r="J9" s="16">
        <f t="shared" si="0"/>
        <v>9.5</v>
      </c>
      <c r="K9" s="16">
        <f t="shared" si="0"/>
        <v>9.5</v>
      </c>
      <c r="L9" s="16">
        <f t="shared" si="0"/>
        <v>9.5</v>
      </c>
      <c r="M9" s="16">
        <f t="shared" si="0"/>
        <v>0</v>
      </c>
    </row>
    <row r="10" spans="1:13" ht="12.75">
      <c r="A10" s="8">
        <v>6</v>
      </c>
      <c r="B10" s="46" t="s">
        <v>438</v>
      </c>
      <c r="C10" s="4" t="s">
        <v>38</v>
      </c>
      <c r="D10" s="47" t="s">
        <v>21</v>
      </c>
      <c r="E10" s="13" t="s">
        <v>49</v>
      </c>
      <c r="F10" s="14">
        <v>4.1</v>
      </c>
      <c r="G10" s="1">
        <v>2015</v>
      </c>
      <c r="I10" s="16">
        <f t="shared" si="0"/>
        <v>4.1</v>
      </c>
      <c r="J10" s="16">
        <f t="shared" si="0"/>
        <v>4.1</v>
      </c>
      <c r="K10" s="16">
        <f t="shared" si="0"/>
        <v>4.1</v>
      </c>
      <c r="L10" s="16">
        <f t="shared" si="0"/>
        <v>4.1</v>
      </c>
      <c r="M10" s="16">
        <f t="shared" si="0"/>
        <v>0</v>
      </c>
    </row>
    <row r="11" spans="1:13" ht="12.75">
      <c r="A11" s="8">
        <v>7</v>
      </c>
      <c r="B11" s="46" t="s">
        <v>486</v>
      </c>
      <c r="C11" s="4" t="s">
        <v>38</v>
      </c>
      <c r="D11" s="4" t="s">
        <v>116</v>
      </c>
      <c r="E11" s="13" t="s">
        <v>49</v>
      </c>
      <c r="F11" s="14">
        <v>2.95</v>
      </c>
      <c r="G11" s="1">
        <v>2015</v>
      </c>
      <c r="I11" s="16">
        <f t="shared" si="0"/>
        <v>2.95</v>
      </c>
      <c r="J11" s="16">
        <f t="shared" si="0"/>
        <v>2.95</v>
      </c>
      <c r="K11" s="16">
        <f t="shared" si="0"/>
        <v>2.95</v>
      </c>
      <c r="L11" s="16">
        <f t="shared" si="0"/>
        <v>2.95</v>
      </c>
      <c r="M11" s="16">
        <f t="shared" si="0"/>
        <v>0</v>
      </c>
    </row>
    <row r="12" spans="1:13" ht="12.75">
      <c r="A12" s="8">
        <v>8</v>
      </c>
      <c r="B12" s="21" t="s">
        <v>350</v>
      </c>
      <c r="C12" s="4" t="s">
        <v>38</v>
      </c>
      <c r="D12" s="4" t="s">
        <v>47</v>
      </c>
      <c r="E12" s="13" t="s">
        <v>49</v>
      </c>
      <c r="F12" s="14">
        <v>7.75</v>
      </c>
      <c r="G12" s="1">
        <v>2014</v>
      </c>
      <c r="I12" s="16">
        <f t="shared" si="0"/>
        <v>7.75</v>
      </c>
      <c r="J12" s="16">
        <f t="shared" si="0"/>
        <v>7.75</v>
      </c>
      <c r="K12" s="16">
        <f t="shared" si="0"/>
        <v>7.75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349</v>
      </c>
      <c r="C13" s="4" t="s">
        <v>26</v>
      </c>
      <c r="D13" s="4" t="s">
        <v>29</v>
      </c>
      <c r="E13" s="13" t="s">
        <v>49</v>
      </c>
      <c r="F13" s="14">
        <v>7.25</v>
      </c>
      <c r="G13" s="1">
        <v>2014</v>
      </c>
      <c r="I13" s="16">
        <f t="shared" si="0"/>
        <v>7.25</v>
      </c>
      <c r="J13" s="16">
        <f t="shared" si="0"/>
        <v>7.25</v>
      </c>
      <c r="K13" s="16">
        <f t="shared" si="0"/>
        <v>7.25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305</v>
      </c>
      <c r="C14" s="4" t="s">
        <v>31</v>
      </c>
      <c r="D14" s="4" t="s">
        <v>23</v>
      </c>
      <c r="E14" s="13" t="s">
        <v>49</v>
      </c>
      <c r="F14" s="16">
        <v>7.2</v>
      </c>
      <c r="G14" s="13">
        <v>2014</v>
      </c>
      <c r="I14" s="16">
        <f t="shared" si="0"/>
        <v>7.2</v>
      </c>
      <c r="J14" s="16">
        <f t="shared" si="0"/>
        <v>7.2</v>
      </c>
      <c r="K14" s="16">
        <f t="shared" si="0"/>
        <v>7.2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6" t="s">
        <v>478</v>
      </c>
      <c r="C15" s="4" t="s">
        <v>41</v>
      </c>
      <c r="D15" s="4" t="s">
        <v>116</v>
      </c>
      <c r="E15" s="13" t="s">
        <v>49</v>
      </c>
      <c r="F15" s="14">
        <v>5.05</v>
      </c>
      <c r="G15" s="1">
        <v>2014</v>
      </c>
      <c r="I15" s="16">
        <f aca="true" t="shared" si="1" ref="I15:M24">+IF($G15&gt;=I$3,$F15,0)</f>
        <v>5.05</v>
      </c>
      <c r="J15" s="16">
        <f t="shared" si="1"/>
        <v>5.05</v>
      </c>
      <c r="K15" s="16">
        <f t="shared" si="1"/>
        <v>5.05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306</v>
      </c>
      <c r="C16" s="4" t="s">
        <v>19</v>
      </c>
      <c r="D16" s="47" t="s">
        <v>46</v>
      </c>
      <c r="E16" s="13" t="s">
        <v>49</v>
      </c>
      <c r="F16" s="14">
        <v>4.2</v>
      </c>
      <c r="G16" s="1">
        <v>2014</v>
      </c>
      <c r="I16" s="16">
        <f t="shared" si="1"/>
        <v>4.2</v>
      </c>
      <c r="J16" s="16">
        <f t="shared" si="1"/>
        <v>4.2</v>
      </c>
      <c r="K16" s="16">
        <f t="shared" si="1"/>
        <v>4.2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385</v>
      </c>
      <c r="C17" s="4" t="s">
        <v>17</v>
      </c>
      <c r="D17" s="4" t="s">
        <v>101</v>
      </c>
      <c r="E17" s="13" t="s">
        <v>49</v>
      </c>
      <c r="F17" s="14">
        <v>4.05</v>
      </c>
      <c r="G17" s="1">
        <v>2014</v>
      </c>
      <c r="I17" s="16">
        <f t="shared" si="1"/>
        <v>4.05</v>
      </c>
      <c r="J17" s="16">
        <f t="shared" si="1"/>
        <v>4.05</v>
      </c>
      <c r="K17" s="16">
        <f t="shared" si="1"/>
        <v>4.05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45" t="s">
        <v>651</v>
      </c>
      <c r="C18" s="4" t="s">
        <v>41</v>
      </c>
      <c r="D18" s="4" t="s">
        <v>29</v>
      </c>
      <c r="E18" s="13" t="s">
        <v>49</v>
      </c>
      <c r="F18" s="14">
        <v>1.75</v>
      </c>
      <c r="G18" s="1">
        <v>2014</v>
      </c>
      <c r="I18" s="16">
        <f t="shared" si="1"/>
        <v>1.75</v>
      </c>
      <c r="J18" s="16">
        <f t="shared" si="1"/>
        <v>1.75</v>
      </c>
      <c r="K18" s="16">
        <f t="shared" si="1"/>
        <v>1.75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214</v>
      </c>
      <c r="C19" s="4" t="s">
        <v>15</v>
      </c>
      <c r="D19" s="4" t="s">
        <v>32</v>
      </c>
      <c r="E19" s="13" t="s">
        <v>49</v>
      </c>
      <c r="F19" s="14">
        <v>14.4</v>
      </c>
      <c r="G19" s="1">
        <v>2013</v>
      </c>
      <c r="I19" s="16">
        <f t="shared" si="1"/>
        <v>14.4</v>
      </c>
      <c r="J19" s="16">
        <f t="shared" si="1"/>
        <v>14.4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428</v>
      </c>
      <c r="C20" s="4" t="s">
        <v>19</v>
      </c>
      <c r="D20" s="4" t="s">
        <v>35</v>
      </c>
      <c r="E20" s="13" t="s">
        <v>49</v>
      </c>
      <c r="F20" s="14">
        <v>6.4</v>
      </c>
      <c r="G20" s="1">
        <v>2013</v>
      </c>
      <c r="I20" s="16">
        <f t="shared" si="1"/>
        <v>6.4</v>
      </c>
      <c r="J20" s="16">
        <f t="shared" si="1"/>
        <v>6.4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269</v>
      </c>
      <c r="C21" s="4" t="s">
        <v>31</v>
      </c>
      <c r="D21" s="47" t="s">
        <v>33</v>
      </c>
      <c r="E21" s="13" t="s">
        <v>49</v>
      </c>
      <c r="F21" s="14">
        <v>4</v>
      </c>
      <c r="G21" s="1">
        <v>2013</v>
      </c>
      <c r="I21" s="16">
        <f t="shared" si="1"/>
        <v>4</v>
      </c>
      <c r="J21" s="16">
        <f t="shared" si="1"/>
        <v>4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6" t="s">
        <v>453</v>
      </c>
      <c r="C22" s="4" t="s">
        <v>17</v>
      </c>
      <c r="D22" s="47" t="s">
        <v>101</v>
      </c>
      <c r="E22" s="13" t="s">
        <v>49</v>
      </c>
      <c r="F22" s="16">
        <v>3.45</v>
      </c>
      <c r="G22" s="13">
        <v>2013</v>
      </c>
      <c r="I22" s="16">
        <f t="shared" si="1"/>
        <v>3.45</v>
      </c>
      <c r="J22" s="16">
        <f t="shared" si="1"/>
        <v>3.45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5" t="s">
        <v>595</v>
      </c>
      <c r="C23" s="4" t="s">
        <v>38</v>
      </c>
      <c r="D23" s="4" t="s">
        <v>30</v>
      </c>
      <c r="E23" s="13" t="s">
        <v>49</v>
      </c>
      <c r="F23" s="14">
        <v>3.25</v>
      </c>
      <c r="G23" s="1">
        <v>2013</v>
      </c>
      <c r="I23" s="16">
        <f t="shared" si="1"/>
        <v>3.25</v>
      </c>
      <c r="J23" s="16">
        <f t="shared" si="1"/>
        <v>3.25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268</v>
      </c>
      <c r="C24" s="4" t="s">
        <v>17</v>
      </c>
      <c r="D24" s="4" t="s">
        <v>24</v>
      </c>
      <c r="E24" s="13" t="s">
        <v>49</v>
      </c>
      <c r="F24" s="16">
        <v>3</v>
      </c>
      <c r="G24" s="13">
        <v>2013</v>
      </c>
      <c r="I24" s="16">
        <f t="shared" si="1"/>
        <v>3</v>
      </c>
      <c r="J24" s="16">
        <f t="shared" si="1"/>
        <v>3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5" t="s">
        <v>652</v>
      </c>
      <c r="C25" s="4" t="s">
        <v>18</v>
      </c>
      <c r="D25" s="4" t="s">
        <v>47</v>
      </c>
      <c r="E25" s="13" t="s">
        <v>49</v>
      </c>
      <c r="F25" s="14">
        <v>2.35</v>
      </c>
      <c r="G25" s="1">
        <v>2013</v>
      </c>
      <c r="I25" s="16">
        <f aca="true" t="shared" si="2" ref="I25:M32">+IF($G25&gt;=I$3,$F25,0)</f>
        <v>2.35</v>
      </c>
      <c r="J25" s="16">
        <f t="shared" si="2"/>
        <v>2.35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348</v>
      </c>
      <c r="C26" s="4" t="s">
        <v>15</v>
      </c>
      <c r="D26" s="47" t="s">
        <v>50</v>
      </c>
      <c r="E26" s="13" t="s">
        <v>49</v>
      </c>
      <c r="F26" s="14">
        <v>1.1</v>
      </c>
      <c r="G26" s="1">
        <v>2013</v>
      </c>
      <c r="I26" s="16">
        <f t="shared" si="2"/>
        <v>1.1</v>
      </c>
      <c r="J26" s="16">
        <f t="shared" si="2"/>
        <v>1.1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151</v>
      </c>
      <c r="C27" s="4" t="s">
        <v>17</v>
      </c>
      <c r="D27" s="4" t="s">
        <v>16</v>
      </c>
      <c r="E27" s="13" t="s">
        <v>49</v>
      </c>
      <c r="F27" s="14">
        <v>7.55</v>
      </c>
      <c r="G27" s="1">
        <v>2012</v>
      </c>
      <c r="I27" s="16">
        <f t="shared" si="2"/>
        <v>7.55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6" t="s">
        <v>584</v>
      </c>
      <c r="C28" s="4" t="s">
        <v>38</v>
      </c>
      <c r="D28" s="4" t="s">
        <v>48</v>
      </c>
      <c r="E28" s="13" t="s">
        <v>49</v>
      </c>
      <c r="F28" s="14">
        <v>5.15</v>
      </c>
      <c r="G28" s="1">
        <v>2012</v>
      </c>
      <c r="I28" s="16">
        <f t="shared" si="2"/>
        <v>5.15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5" t="s">
        <v>443</v>
      </c>
      <c r="C29" s="4" t="s">
        <v>17</v>
      </c>
      <c r="D29" s="4" t="s">
        <v>32</v>
      </c>
      <c r="E29" s="13" t="s">
        <v>49</v>
      </c>
      <c r="F29" s="16">
        <v>1.3</v>
      </c>
      <c r="G29" s="13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5" t="s">
        <v>645</v>
      </c>
      <c r="C30" s="4" t="s">
        <v>19</v>
      </c>
      <c r="D30" s="4" t="s">
        <v>29</v>
      </c>
      <c r="E30" s="13" t="s">
        <v>49</v>
      </c>
      <c r="F30" s="14">
        <v>1.3</v>
      </c>
      <c r="G30" s="1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6" t="s">
        <v>796</v>
      </c>
      <c r="C31" s="4" t="s">
        <v>38</v>
      </c>
      <c r="D31" s="4" t="s">
        <v>30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732</v>
      </c>
      <c r="C32" s="4" t="s">
        <v>38</v>
      </c>
      <c r="D32" s="4" t="s">
        <v>25</v>
      </c>
      <c r="E32" s="13" t="s">
        <v>49</v>
      </c>
      <c r="F32" s="18">
        <v>1.3</v>
      </c>
      <c r="G32" s="4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141.60000000000005</v>
      </c>
      <c r="J34" s="17">
        <f>+SUM(J5:J32)</f>
        <v>123.7</v>
      </c>
      <c r="K34" s="17">
        <f>+SUM(K5:K32)</f>
        <v>85.75</v>
      </c>
      <c r="L34" s="17">
        <f>+SUM(L5:L32)</f>
        <v>48.50000000000001</v>
      </c>
      <c r="M34" s="17">
        <f>+SUM(M5:M32)</f>
        <v>31.95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5" t="s">
        <v>637</v>
      </c>
      <c r="C40" s="4" t="s">
        <v>19</v>
      </c>
      <c r="D40" s="4" t="s">
        <v>22</v>
      </c>
      <c r="E40" s="13" t="s">
        <v>81</v>
      </c>
      <c r="F40" s="16">
        <v>3.25</v>
      </c>
      <c r="G40" s="13">
        <v>2016</v>
      </c>
      <c r="I40" s="16">
        <f aca="true" t="shared" si="3" ref="I40:I45">+CEILING(IF($I$38&lt;=G40,F40*0.3,0),0.05)</f>
        <v>1</v>
      </c>
      <c r="J40" s="16">
        <f aca="true" t="shared" si="4" ref="J40:J45">+CEILING(IF($J$38&lt;=G40,F40*0.3,0),0.05)</f>
        <v>1</v>
      </c>
      <c r="K40" s="16">
        <f aca="true" t="shared" si="5" ref="K40:K45">+CEILING(IF($K$38&lt;=G40,F40*0.3,0),0.05)</f>
        <v>1</v>
      </c>
      <c r="L40" s="16">
        <f aca="true" t="shared" si="6" ref="L40:L45">+CEILING(IF($L$38&lt;=G40,F40*0.3,0),0.05)</f>
        <v>1</v>
      </c>
      <c r="M40" s="16">
        <f aca="true" t="shared" si="7" ref="M40:M45">+CEILING(IF($M$38&lt;=G40,F40*0.3,0),0.05)</f>
        <v>1</v>
      </c>
    </row>
    <row r="41" spans="1:13" ht="12.75">
      <c r="A41" s="8">
        <v>2</v>
      </c>
      <c r="B41" s="46" t="s">
        <v>545</v>
      </c>
      <c r="C41" s="4" t="s">
        <v>17</v>
      </c>
      <c r="D41" s="4" t="s">
        <v>21</v>
      </c>
      <c r="E41" s="13" t="s">
        <v>81</v>
      </c>
      <c r="F41" s="14">
        <v>6.25</v>
      </c>
      <c r="G41" s="1">
        <v>2016</v>
      </c>
      <c r="I41" s="16">
        <f t="shared" si="3"/>
        <v>1.9000000000000001</v>
      </c>
      <c r="J41" s="16">
        <f t="shared" si="4"/>
        <v>1.9000000000000001</v>
      </c>
      <c r="K41" s="16">
        <f t="shared" si="5"/>
        <v>1.9000000000000001</v>
      </c>
      <c r="L41" s="16">
        <f t="shared" si="6"/>
        <v>1.9000000000000001</v>
      </c>
      <c r="M41" s="16">
        <f t="shared" si="7"/>
        <v>1.9000000000000001</v>
      </c>
    </row>
    <row r="42" spans="1:13" ht="12.75">
      <c r="A42" s="8">
        <v>3</v>
      </c>
      <c r="B42" s="46" t="s">
        <v>639</v>
      </c>
      <c r="C42" s="4" t="s">
        <v>17</v>
      </c>
      <c r="D42" s="4" t="s">
        <v>16</v>
      </c>
      <c r="E42" s="13" t="s">
        <v>81</v>
      </c>
      <c r="F42" s="14">
        <v>5.65</v>
      </c>
      <c r="G42" s="1">
        <v>2016</v>
      </c>
      <c r="I42" s="16">
        <f t="shared" si="3"/>
        <v>1.7000000000000002</v>
      </c>
      <c r="J42" s="16">
        <f t="shared" si="4"/>
        <v>1.7000000000000002</v>
      </c>
      <c r="K42" s="16">
        <f t="shared" si="5"/>
        <v>1.7000000000000002</v>
      </c>
      <c r="L42" s="16">
        <f t="shared" si="6"/>
        <v>1.7000000000000002</v>
      </c>
      <c r="M42" s="16">
        <f t="shared" si="7"/>
        <v>1.7000000000000002</v>
      </c>
    </row>
    <row r="43" spans="1:13" ht="12.75">
      <c r="A43" s="8">
        <v>4</v>
      </c>
      <c r="B43" s="46" t="s">
        <v>514</v>
      </c>
      <c r="C43" s="4" t="s">
        <v>17</v>
      </c>
      <c r="D43" s="4" t="s">
        <v>25</v>
      </c>
      <c r="E43" s="13" t="s">
        <v>81</v>
      </c>
      <c r="F43" s="14">
        <v>6.05</v>
      </c>
      <c r="G43" s="1">
        <v>2015</v>
      </c>
      <c r="I43" s="16">
        <f t="shared" si="3"/>
        <v>1.85</v>
      </c>
      <c r="J43" s="16">
        <f t="shared" si="4"/>
        <v>1.85</v>
      </c>
      <c r="K43" s="16">
        <f t="shared" si="5"/>
        <v>1.85</v>
      </c>
      <c r="L43" s="16">
        <f t="shared" si="6"/>
        <v>1.85</v>
      </c>
      <c r="M43" s="16">
        <f t="shared" si="7"/>
        <v>0</v>
      </c>
    </row>
    <row r="44" spans="1:13" ht="12.75">
      <c r="A44" s="8">
        <v>5</v>
      </c>
      <c r="B44" s="21" t="s">
        <v>248</v>
      </c>
      <c r="C44" s="4" t="s">
        <v>17</v>
      </c>
      <c r="D44" s="4" t="s">
        <v>56</v>
      </c>
      <c r="E44" s="13" t="s">
        <v>81</v>
      </c>
      <c r="F44" s="14">
        <v>5.15</v>
      </c>
      <c r="G44" s="1">
        <v>2013</v>
      </c>
      <c r="I44" s="16">
        <f t="shared" si="3"/>
        <v>1.55</v>
      </c>
      <c r="J44" s="16">
        <f t="shared" si="4"/>
        <v>1.55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C46" s="22"/>
      <c r="D46" s="22"/>
      <c r="E46" s="22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8.000000000000002</v>
      </c>
      <c r="J48" s="12">
        <f>+SUM(J40:J47)</f>
        <v>8.000000000000002</v>
      </c>
      <c r="K48" s="12">
        <f>+SUM(K40:K47)</f>
        <v>6.450000000000001</v>
      </c>
      <c r="L48" s="12">
        <f>+SUM(L40:L47)</f>
        <v>6.450000000000001</v>
      </c>
      <c r="M48" s="12">
        <f>+SUM(M40:M47)</f>
        <v>4.6000000000000005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223</v>
      </c>
      <c r="C54" s="4" t="s">
        <v>17</v>
      </c>
      <c r="D54" s="47" t="s">
        <v>30</v>
      </c>
      <c r="E54" s="13">
        <v>2011</v>
      </c>
      <c r="F54" s="14">
        <v>10.4</v>
      </c>
      <c r="G54" s="1">
        <v>2013</v>
      </c>
      <c r="I54" s="16">
        <f aca="true" t="shared" si="8" ref="I54:I60">+CEILING(IF($I$52=E54,F54,IF($I$52&lt;=G54,F54*0.3,0)),0.05)</f>
        <v>3.1500000000000004</v>
      </c>
      <c r="J54" s="16">
        <f aca="true" t="shared" si="9" ref="J54:J60">+CEILING(IF($J$52&lt;=G54,F54*0.3,0),0.05)</f>
        <v>3.1500000000000004</v>
      </c>
      <c r="K54" s="16">
        <f aca="true" t="shared" si="10" ref="K54:K60">+CEILING(IF($K$52&lt;=G54,F54*0.3,0),0.05)</f>
        <v>0</v>
      </c>
      <c r="L54" s="16">
        <f aca="true" t="shared" si="11" ref="L54:L60">+CEILING(IF($L$52&lt;=G54,F54*0.3,0),0.05)</f>
        <v>0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1" t="s">
        <v>324</v>
      </c>
      <c r="C55" s="4" t="s">
        <v>38</v>
      </c>
      <c r="D55" s="4" t="s">
        <v>44</v>
      </c>
      <c r="E55" s="13">
        <v>2011</v>
      </c>
      <c r="F55" s="14">
        <v>4</v>
      </c>
      <c r="G55" s="1">
        <v>2012</v>
      </c>
      <c r="I55" s="16">
        <f t="shared" si="8"/>
        <v>1.2000000000000002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167</v>
      </c>
      <c r="C56" s="4" t="s">
        <v>17</v>
      </c>
      <c r="D56" s="4" t="s">
        <v>44</v>
      </c>
      <c r="E56" s="13">
        <v>2011</v>
      </c>
      <c r="F56" s="14">
        <v>3.15</v>
      </c>
      <c r="G56" s="1">
        <v>2012</v>
      </c>
      <c r="I56" s="16">
        <f t="shared" si="8"/>
        <v>0.9500000000000001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5" t="s">
        <v>515</v>
      </c>
      <c r="C57" s="4" t="s">
        <v>17</v>
      </c>
      <c r="D57" s="4" t="s">
        <v>16</v>
      </c>
      <c r="E57" s="13">
        <v>2011</v>
      </c>
      <c r="F57" s="14">
        <v>2.75</v>
      </c>
      <c r="G57" s="1">
        <v>2012</v>
      </c>
      <c r="I57" s="16">
        <f t="shared" si="8"/>
        <v>0.8500000000000001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6" t="s">
        <v>128</v>
      </c>
      <c r="C58" s="4" t="s">
        <v>41</v>
      </c>
      <c r="D58" s="4" t="s">
        <v>46</v>
      </c>
      <c r="E58" s="13">
        <v>2011</v>
      </c>
      <c r="F58" s="14">
        <v>1.95</v>
      </c>
      <c r="G58" s="1">
        <v>2012</v>
      </c>
      <c r="I58" s="16">
        <f t="shared" si="8"/>
        <v>0.6000000000000001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46" t="s">
        <v>712</v>
      </c>
      <c r="C59" s="4" t="s">
        <v>38</v>
      </c>
      <c r="D59" s="4" t="s">
        <v>35</v>
      </c>
      <c r="E59" s="13">
        <v>2012</v>
      </c>
      <c r="F59" s="14">
        <v>1.3</v>
      </c>
      <c r="G59" s="1">
        <v>2012</v>
      </c>
      <c r="I59" s="16">
        <f t="shared" si="8"/>
        <v>1.3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762</v>
      </c>
      <c r="C60" s="4" t="s">
        <v>38</v>
      </c>
      <c r="D60" s="4" t="s">
        <v>46</v>
      </c>
      <c r="E60" s="13">
        <v>2012</v>
      </c>
      <c r="F60" s="18">
        <v>1.3</v>
      </c>
      <c r="G60" s="4">
        <v>2012</v>
      </c>
      <c r="I60" s="16">
        <f t="shared" si="8"/>
        <v>1.3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400</v>
      </c>
      <c r="C61" s="4" t="s">
        <v>18</v>
      </c>
      <c r="D61" s="4" t="s">
        <v>24</v>
      </c>
      <c r="E61" s="13">
        <v>2011</v>
      </c>
      <c r="F61" s="14">
        <v>1.1</v>
      </c>
      <c r="G61" s="1">
        <v>2012</v>
      </c>
      <c r="I61" s="16">
        <f aca="true" t="shared" si="13" ref="I61:I66">+CEILING(IF($I$52=E61,F61,IF($I$52&lt;=G61,F61*0.3,0)),0.05)</f>
        <v>0.35000000000000003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7" t="s">
        <v>203</v>
      </c>
      <c r="C62" s="4" t="s">
        <v>17</v>
      </c>
      <c r="D62" s="4" t="s">
        <v>25</v>
      </c>
      <c r="E62" s="13">
        <v>2009</v>
      </c>
      <c r="F62" s="14">
        <v>0.9</v>
      </c>
      <c r="G62" s="1">
        <v>2012</v>
      </c>
      <c r="I62" s="16">
        <f t="shared" si="13"/>
        <v>0.30000000000000004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46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46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46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46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46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7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44"/>
      <c r="D69" s="49"/>
      <c r="E69" s="13"/>
      <c r="F69" s="14"/>
      <c r="G69" s="1"/>
      <c r="I69" s="16">
        <f>+CEILING(IF($I$52=E69,F69,IF($I$52&lt;=G69,F69*0.3,0)),0.05)</f>
        <v>0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/>
      <c r="D70" s="4"/>
      <c r="E70" s="13"/>
      <c r="F70" s="14"/>
      <c r="G70" s="1"/>
      <c r="I70" s="16">
        <f>+CEILING(IF($I$52=E70,F70,IF($I$52&lt;=G70,F70*0.3,0)),0.05)</f>
        <v>0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9:13" ht="7.5" customHeight="1">
      <c r="I71" s="15"/>
      <c r="J71" s="15"/>
      <c r="K71" s="15"/>
      <c r="L71" s="15"/>
      <c r="M71" s="15"/>
    </row>
    <row r="72" spans="9:13" ht="12.75">
      <c r="I72" s="17">
        <f>+SUM(I54:I71)</f>
        <v>10.000000000000002</v>
      </c>
      <c r="J72" s="17">
        <f>+SUM(J54:J71)</f>
        <v>3.1500000000000004</v>
      </c>
      <c r="K72" s="17">
        <f>+SUM(K54:K71)</f>
        <v>0</v>
      </c>
      <c r="L72" s="17">
        <f>+SUM(L54:L71)</f>
        <v>0</v>
      </c>
      <c r="M72" s="17">
        <f>+SUM(M54:M71)</f>
        <v>0</v>
      </c>
    </row>
    <row r="73" spans="9:13" ht="12.75">
      <c r="I73" s="12"/>
      <c r="J73" s="12"/>
      <c r="K73" s="12"/>
      <c r="L73" s="12"/>
      <c r="M73" s="12"/>
    </row>
    <row r="74" spans="1:13" ht="15.75">
      <c r="A74" s="104" t="s">
        <v>52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9:13" ht="7.5" customHeight="1">
      <c r="I75" s="12"/>
      <c r="J75" s="12"/>
      <c r="K75" s="12"/>
      <c r="L75" s="12"/>
      <c r="M75" s="12"/>
    </row>
    <row r="76" spans="1:13" ht="12.75">
      <c r="A76" s="8"/>
      <c r="B76" s="5" t="s">
        <v>55</v>
      </c>
      <c r="C76" s="6"/>
      <c r="D76" s="6"/>
      <c r="E76" s="6"/>
      <c r="F76" s="6" t="s">
        <v>54</v>
      </c>
      <c r="G76" s="6" t="s">
        <v>53</v>
      </c>
      <c r="I76" s="7">
        <f>+I$3</f>
        <v>2012</v>
      </c>
      <c r="J76" s="7">
        <f>+J$3</f>
        <v>2013</v>
      </c>
      <c r="K76" s="7">
        <f>+K$3</f>
        <v>2014</v>
      </c>
      <c r="L76" s="7">
        <f>+L$3</f>
        <v>2015</v>
      </c>
      <c r="M76" s="7">
        <f>+M$3</f>
        <v>2016</v>
      </c>
    </row>
    <row r="77" spans="1:13" ht="7.5" customHeight="1">
      <c r="A77" s="8"/>
      <c r="I77" s="20"/>
      <c r="J77" s="20"/>
      <c r="K77" s="20"/>
      <c r="L77" s="20"/>
      <c r="M77" s="20"/>
    </row>
    <row r="78" spans="1:13" ht="12.75">
      <c r="A78" s="8">
        <v>1</v>
      </c>
      <c r="B78" s="102"/>
      <c r="C78" s="102"/>
      <c r="D78" s="102"/>
      <c r="E78" s="102"/>
      <c r="F78" s="18"/>
      <c r="G78" s="4"/>
      <c r="I78" s="29">
        <f>+F78</f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ht="12.75">
      <c r="A79" s="8">
        <v>2</v>
      </c>
      <c r="B79" s="102"/>
      <c r="C79" s="102"/>
      <c r="D79" s="102"/>
      <c r="E79" s="102"/>
      <c r="I79" s="29">
        <f>+F79</f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+SUM(I78:I80)</f>
        <v>0</v>
      </c>
      <c r="J81" s="12">
        <f>+SUM(J78:J80)</f>
        <v>0</v>
      </c>
      <c r="K81" s="12">
        <f>+SUM(K78:K80)</f>
        <v>0</v>
      </c>
      <c r="L81" s="12">
        <f>+SUM(L78:L80)</f>
        <v>0</v>
      </c>
      <c r="M81" s="12">
        <f>+SUM(M78:M80)</f>
        <v>0</v>
      </c>
    </row>
    <row r="82" spans="9:13" ht="12.75">
      <c r="I82" s="11"/>
      <c r="J82" s="11"/>
      <c r="K82" s="11"/>
      <c r="L82" s="11"/>
      <c r="M82" s="11"/>
    </row>
  </sheetData>
  <sheetProtection/>
  <mergeCells count="6">
    <mergeCell ref="B78:E78"/>
    <mergeCell ref="B79:E79"/>
    <mergeCell ref="A1:M1"/>
    <mergeCell ref="A36:M36"/>
    <mergeCell ref="A50:M50"/>
    <mergeCell ref="A74:M7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101" t="s">
        <v>105</v>
      </c>
      <c r="B1" s="101"/>
      <c r="C1" s="101"/>
      <c r="E1" s="101" t="s">
        <v>106</v>
      </c>
      <c r="F1" s="101"/>
      <c r="G1" s="101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13</v>
      </c>
      <c r="C3" s="6" t="s">
        <v>4</v>
      </c>
      <c r="E3" s="5" t="s">
        <v>1</v>
      </c>
      <c r="F3" s="6" t="s">
        <v>13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/>
      <c r="C5" s="4"/>
      <c r="E5" s="21"/>
      <c r="G5" s="22"/>
    </row>
    <row r="6" spans="1:7" ht="12.75">
      <c r="A6" s="21"/>
      <c r="C6" s="4"/>
      <c r="E6" s="21"/>
      <c r="G6" s="4"/>
    </row>
    <row r="7" spans="3:7" ht="12.75">
      <c r="C7" s="4"/>
      <c r="E7" s="21"/>
      <c r="G7" s="4"/>
    </row>
    <row r="8" spans="1:7" ht="12.75">
      <c r="A8" s="15"/>
      <c r="C8" s="4"/>
      <c r="E8" s="21"/>
      <c r="G8" s="22"/>
    </row>
    <row r="9" spans="1:7" ht="12.75">
      <c r="A9" s="21"/>
      <c r="C9" s="4"/>
      <c r="E9" s="21"/>
      <c r="G9" s="22"/>
    </row>
    <row r="10" spans="1:7" ht="12.75">
      <c r="A10" s="15"/>
      <c r="C10" s="4"/>
      <c r="E10" s="21"/>
      <c r="G10" s="4"/>
    </row>
    <row r="11" spans="1:7" ht="12.75">
      <c r="A11" s="15"/>
      <c r="C11" s="4"/>
      <c r="E11" s="21"/>
      <c r="G11" s="4"/>
    </row>
    <row r="12" spans="1:7" ht="12.75">
      <c r="A12" s="15"/>
      <c r="C12" s="4"/>
      <c r="E12" s="21"/>
      <c r="G12" s="22"/>
    </row>
    <row r="13" spans="3:7" ht="12.75">
      <c r="C13" s="4"/>
      <c r="E13" s="21"/>
      <c r="G13" s="22"/>
    </row>
    <row r="14" spans="1:7" ht="12.75">
      <c r="A14" s="21"/>
      <c r="C14" s="4"/>
      <c r="E14" s="21"/>
      <c r="G14" s="4"/>
    </row>
    <row r="15" spans="3:7" ht="12.75">
      <c r="C15" s="4"/>
      <c r="E15" s="21"/>
      <c r="G15" s="4"/>
    </row>
    <row r="16" spans="1:3" ht="12.75">
      <c r="A16" s="21"/>
      <c r="C16" s="4"/>
    </row>
    <row r="17" spans="1:7" ht="12.75">
      <c r="A17" s="21"/>
      <c r="C17" s="4"/>
      <c r="E17" s="21"/>
      <c r="G17" s="4"/>
    </row>
    <row r="18" spans="1:3" ht="12.75">
      <c r="A18" s="15"/>
      <c r="C18" s="4"/>
    </row>
    <row r="19" ht="12.75">
      <c r="C19" s="4"/>
    </row>
    <row r="20" spans="1:3" ht="12.75">
      <c r="A20" s="21"/>
      <c r="C20" s="4"/>
    </row>
    <row r="21" spans="3:7" ht="12.75">
      <c r="C21" s="4"/>
      <c r="G21" s="4"/>
    </row>
    <row r="22" spans="3:7" ht="12.75">
      <c r="C22" s="4"/>
      <c r="E22" s="27"/>
      <c r="G22" s="4"/>
    </row>
    <row r="23" spans="1:7" ht="12.75">
      <c r="A23" s="27"/>
      <c r="C23" s="4"/>
      <c r="G23" s="4"/>
    </row>
    <row r="24" spans="1:7" ht="12.75">
      <c r="A24" s="26"/>
      <c r="C24" s="4"/>
      <c r="G24" s="4"/>
    </row>
    <row r="25" spans="1:7" ht="12.75">
      <c r="A25" s="26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1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1"/>
      <c r="G37" s="4"/>
    </row>
    <row r="38" spans="1:7" ht="12.75">
      <c r="A38" s="15"/>
      <c r="C38" s="4"/>
      <c r="E38" s="21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1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6"/>
      <c r="C47" s="4"/>
      <c r="E47"/>
      <c r="G47" s="4"/>
    </row>
    <row r="48" spans="1:7" ht="12.75">
      <c r="A48" s="21"/>
      <c r="B48" s="13"/>
      <c r="C48" s="13"/>
      <c r="E48"/>
      <c r="G48" s="4"/>
    </row>
    <row r="49" spans="1:7" ht="12.75">
      <c r="A49" s="21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1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1"/>
      <c r="C56" s="4"/>
      <c r="E56" s="15"/>
      <c r="G56" s="4"/>
    </row>
    <row r="57" spans="3:7" ht="12.75">
      <c r="C57" s="4"/>
      <c r="E57" s="21"/>
      <c r="G57" s="4"/>
    </row>
    <row r="58" spans="1:7" ht="12.75">
      <c r="A58" s="21"/>
      <c r="C58" s="4"/>
      <c r="E58" s="15"/>
      <c r="G58" s="4"/>
    </row>
    <row r="59" spans="1:7" ht="12.75">
      <c r="A59" s="15"/>
      <c r="C59" s="4"/>
      <c r="G59" s="4"/>
    </row>
    <row r="60" spans="1:7" ht="12.75">
      <c r="A60" s="21"/>
      <c r="C60" s="4"/>
      <c r="E60" s="15"/>
      <c r="G60" s="4"/>
    </row>
    <row r="61" spans="3:7" ht="12.75">
      <c r="C61" s="4"/>
      <c r="E61" s="21"/>
      <c r="G61" s="4"/>
    </row>
    <row r="62" spans="1:7" ht="12.75">
      <c r="A62" s="21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1"/>
      <c r="F64" s="13"/>
      <c r="G64" s="13"/>
    </row>
    <row r="65" spans="1:7" ht="12.75">
      <c r="A65" s="27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1"/>
      <c r="C71" s="4"/>
      <c r="G71" s="4"/>
    </row>
    <row r="72" spans="1:7" ht="12.75">
      <c r="A72" s="15"/>
      <c r="C72" s="4"/>
      <c r="E72" s="21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1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7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6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7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27">
      <selection activeCell="B57" sqref="B57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541</v>
      </c>
      <c r="C5" s="4" t="s">
        <v>41</v>
      </c>
      <c r="D5" s="4" t="s">
        <v>20</v>
      </c>
      <c r="E5" s="13" t="s">
        <v>49</v>
      </c>
      <c r="F5" s="18">
        <v>6.4</v>
      </c>
      <c r="G5" s="4">
        <v>2016</v>
      </c>
      <c r="I5" s="16">
        <f aca="true" t="shared" si="0" ref="I5:M14">+IF($G5&gt;=I$3,$F5,0)</f>
        <v>6.4</v>
      </c>
      <c r="J5" s="16">
        <f t="shared" si="0"/>
        <v>6.4</v>
      </c>
      <c r="K5" s="16">
        <f t="shared" si="0"/>
        <v>6.4</v>
      </c>
      <c r="L5" s="16">
        <f t="shared" si="0"/>
        <v>6.4</v>
      </c>
      <c r="M5" s="16">
        <f t="shared" si="0"/>
        <v>6.4</v>
      </c>
    </row>
    <row r="6" spans="1:13" ht="12.75">
      <c r="A6" s="8">
        <v>2</v>
      </c>
      <c r="B6" s="3" t="s">
        <v>157</v>
      </c>
      <c r="C6" s="4" t="s">
        <v>19</v>
      </c>
      <c r="D6" s="4" t="s">
        <v>24</v>
      </c>
      <c r="E6" s="13" t="s">
        <v>49</v>
      </c>
      <c r="F6" s="14">
        <v>5.3</v>
      </c>
      <c r="G6" s="1">
        <v>2016</v>
      </c>
      <c r="I6" s="16">
        <f t="shared" si="0"/>
        <v>5.3</v>
      </c>
      <c r="J6" s="16">
        <f t="shared" si="0"/>
        <v>5.3</v>
      </c>
      <c r="K6" s="16">
        <f t="shared" si="0"/>
        <v>5.3</v>
      </c>
      <c r="L6" s="16">
        <f t="shared" si="0"/>
        <v>5.3</v>
      </c>
      <c r="M6" s="16">
        <f t="shared" si="0"/>
        <v>5.3</v>
      </c>
    </row>
    <row r="7" spans="1:13" ht="12.75">
      <c r="A7" s="8">
        <v>3</v>
      </c>
      <c r="B7" s="36" t="s">
        <v>646</v>
      </c>
      <c r="C7" s="4" t="s">
        <v>26</v>
      </c>
      <c r="D7" s="4" t="s">
        <v>47</v>
      </c>
      <c r="E7" s="13" t="s">
        <v>49</v>
      </c>
      <c r="F7" s="14">
        <v>5.3</v>
      </c>
      <c r="G7" s="1">
        <v>2016</v>
      </c>
      <c r="I7" s="16">
        <f t="shared" si="0"/>
        <v>5.3</v>
      </c>
      <c r="J7" s="16">
        <f t="shared" si="0"/>
        <v>5.3</v>
      </c>
      <c r="K7" s="16">
        <f t="shared" si="0"/>
        <v>5.3</v>
      </c>
      <c r="L7" s="16">
        <f t="shared" si="0"/>
        <v>5.3</v>
      </c>
      <c r="M7" s="16">
        <f t="shared" si="0"/>
        <v>5.3</v>
      </c>
    </row>
    <row r="8" spans="1:13" ht="12.75">
      <c r="A8" s="8">
        <v>4</v>
      </c>
      <c r="B8" s="36" t="s">
        <v>616</v>
      </c>
      <c r="C8" s="4" t="s">
        <v>17</v>
      </c>
      <c r="D8" s="4" t="s">
        <v>33</v>
      </c>
      <c r="E8" s="13" t="s">
        <v>49</v>
      </c>
      <c r="F8" s="18">
        <v>2</v>
      </c>
      <c r="G8" s="4">
        <v>2016</v>
      </c>
      <c r="I8" s="16">
        <f t="shared" si="0"/>
        <v>2</v>
      </c>
      <c r="J8" s="16">
        <f t="shared" si="0"/>
        <v>2</v>
      </c>
      <c r="K8" s="16">
        <f t="shared" si="0"/>
        <v>2</v>
      </c>
      <c r="L8" s="16">
        <f t="shared" si="0"/>
        <v>2</v>
      </c>
      <c r="M8" s="16">
        <f t="shared" si="0"/>
        <v>2</v>
      </c>
    </row>
    <row r="9" spans="1:13" ht="12.75">
      <c r="A9" s="8">
        <v>5</v>
      </c>
      <c r="B9" s="41" t="s">
        <v>418</v>
      </c>
      <c r="C9" s="4" t="s">
        <v>18</v>
      </c>
      <c r="D9" s="4" t="s">
        <v>45</v>
      </c>
      <c r="E9" s="13" t="s">
        <v>49</v>
      </c>
      <c r="F9" s="14">
        <v>7.35</v>
      </c>
      <c r="G9" s="1">
        <v>2015</v>
      </c>
      <c r="I9" s="16">
        <f t="shared" si="0"/>
        <v>7.35</v>
      </c>
      <c r="J9" s="16">
        <f t="shared" si="0"/>
        <v>7.35</v>
      </c>
      <c r="K9" s="16">
        <f t="shared" si="0"/>
        <v>7.35</v>
      </c>
      <c r="L9" s="16">
        <f t="shared" si="0"/>
        <v>7.35</v>
      </c>
      <c r="M9" s="16">
        <f t="shared" si="0"/>
        <v>0</v>
      </c>
    </row>
    <row r="10" spans="1:13" ht="12.75">
      <c r="A10" s="8">
        <v>6</v>
      </c>
      <c r="B10" s="3" t="s">
        <v>445</v>
      </c>
      <c r="C10" s="4" t="s">
        <v>17</v>
      </c>
      <c r="D10" s="4" t="s">
        <v>16</v>
      </c>
      <c r="E10" s="13" t="s">
        <v>49</v>
      </c>
      <c r="F10" s="14">
        <v>7.15</v>
      </c>
      <c r="G10" s="1">
        <v>2015</v>
      </c>
      <c r="I10" s="16">
        <f t="shared" si="0"/>
        <v>7.15</v>
      </c>
      <c r="J10" s="16">
        <f t="shared" si="0"/>
        <v>7.15</v>
      </c>
      <c r="K10" s="16">
        <f t="shared" si="0"/>
        <v>7.15</v>
      </c>
      <c r="L10" s="16">
        <f t="shared" si="0"/>
        <v>7.15</v>
      </c>
      <c r="M10" s="16">
        <f t="shared" si="0"/>
        <v>0</v>
      </c>
    </row>
    <row r="11" spans="1:13" ht="12.75">
      <c r="A11" s="8">
        <v>7</v>
      </c>
      <c r="B11" s="3" t="s">
        <v>302</v>
      </c>
      <c r="C11" s="4" t="s">
        <v>15</v>
      </c>
      <c r="D11" s="4" t="s">
        <v>57</v>
      </c>
      <c r="E11" s="13" t="s">
        <v>49</v>
      </c>
      <c r="F11" s="14">
        <v>13.6</v>
      </c>
      <c r="G11" s="1">
        <v>2014</v>
      </c>
      <c r="I11" s="16">
        <f t="shared" si="0"/>
        <v>13.6</v>
      </c>
      <c r="J11" s="16">
        <f t="shared" si="0"/>
        <v>13.6</v>
      </c>
      <c r="K11" s="16">
        <f t="shared" si="0"/>
        <v>13.6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579</v>
      </c>
      <c r="C12" s="4" t="s">
        <v>19</v>
      </c>
      <c r="D12" s="47" t="s">
        <v>43</v>
      </c>
      <c r="E12" s="13" t="s">
        <v>49</v>
      </c>
      <c r="F12" s="14">
        <v>5.7</v>
      </c>
      <c r="G12" s="2">
        <v>2014</v>
      </c>
      <c r="I12" s="16">
        <f t="shared" si="0"/>
        <v>5.7</v>
      </c>
      <c r="J12" s="16">
        <f t="shared" si="0"/>
        <v>5.7</v>
      </c>
      <c r="K12" s="16">
        <f t="shared" si="0"/>
        <v>5.7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6" t="s">
        <v>311</v>
      </c>
      <c r="C13" s="4" t="s">
        <v>38</v>
      </c>
      <c r="D13" s="4" t="s">
        <v>40</v>
      </c>
      <c r="E13" s="13" t="s">
        <v>49</v>
      </c>
      <c r="F13" s="18">
        <v>4.6</v>
      </c>
      <c r="G13" s="4">
        <v>2014</v>
      </c>
      <c r="I13" s="16">
        <f t="shared" si="0"/>
        <v>4.6</v>
      </c>
      <c r="J13" s="16">
        <f t="shared" si="0"/>
        <v>4.6</v>
      </c>
      <c r="K13" s="16">
        <f t="shared" si="0"/>
        <v>4.6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6" t="s">
        <v>405</v>
      </c>
      <c r="C14" s="4" t="s">
        <v>26</v>
      </c>
      <c r="D14" s="4" t="s">
        <v>93</v>
      </c>
      <c r="E14" s="13" t="s">
        <v>49</v>
      </c>
      <c r="F14" s="14">
        <v>2.5</v>
      </c>
      <c r="G14" s="1">
        <v>2014</v>
      </c>
      <c r="I14" s="16">
        <f t="shared" si="0"/>
        <v>2.5</v>
      </c>
      <c r="J14" s="16">
        <f t="shared" si="0"/>
        <v>2.5</v>
      </c>
      <c r="K14" s="16">
        <f t="shared" si="0"/>
        <v>2.5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1" t="s">
        <v>580</v>
      </c>
      <c r="C15" s="4" t="s">
        <v>38</v>
      </c>
      <c r="D15" s="4" t="s">
        <v>32</v>
      </c>
      <c r="E15" s="13" t="s">
        <v>49</v>
      </c>
      <c r="F15" s="14">
        <v>2.45</v>
      </c>
      <c r="G15" s="1">
        <v>2014</v>
      </c>
      <c r="I15" s="16">
        <f aca="true" t="shared" si="1" ref="I15:M24">+IF($G15&gt;=I$3,$F15,0)</f>
        <v>2.45</v>
      </c>
      <c r="J15" s="16">
        <f t="shared" si="1"/>
        <v>2.45</v>
      </c>
      <c r="K15" s="16">
        <f t="shared" si="1"/>
        <v>2.45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6" t="s">
        <v>312</v>
      </c>
      <c r="C16" s="4" t="s">
        <v>31</v>
      </c>
      <c r="D16" s="4" t="s">
        <v>28</v>
      </c>
      <c r="E16" s="13" t="s">
        <v>49</v>
      </c>
      <c r="F16" s="14">
        <v>5.4</v>
      </c>
      <c r="G16" s="1">
        <v>2013</v>
      </c>
      <c r="I16" s="16">
        <f t="shared" si="1"/>
        <v>5.4</v>
      </c>
      <c r="J16" s="16">
        <f t="shared" si="1"/>
        <v>5.4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481</v>
      </c>
      <c r="C17" s="4" t="s">
        <v>19</v>
      </c>
      <c r="D17" s="4" t="s">
        <v>32</v>
      </c>
      <c r="E17" s="13" t="s">
        <v>49</v>
      </c>
      <c r="F17" s="14">
        <v>3.85</v>
      </c>
      <c r="G17" s="1">
        <v>2013</v>
      </c>
      <c r="I17" s="16">
        <f t="shared" si="1"/>
        <v>3.85</v>
      </c>
      <c r="J17" s="16">
        <f t="shared" si="1"/>
        <v>3.85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244</v>
      </c>
      <c r="C18" s="4" t="s">
        <v>19</v>
      </c>
      <c r="D18" s="4" t="s">
        <v>48</v>
      </c>
      <c r="E18" s="13" t="s">
        <v>49</v>
      </c>
      <c r="F18" s="14">
        <v>2.55</v>
      </c>
      <c r="G18" s="1">
        <v>2013</v>
      </c>
      <c r="I18" s="16">
        <f t="shared" si="1"/>
        <v>2.55</v>
      </c>
      <c r="J18" s="16">
        <f t="shared" si="1"/>
        <v>2.55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6" t="s">
        <v>264</v>
      </c>
      <c r="C19" s="4" t="s">
        <v>17</v>
      </c>
      <c r="D19" s="4" t="s">
        <v>93</v>
      </c>
      <c r="E19" s="13" t="s">
        <v>49</v>
      </c>
      <c r="F19" s="14">
        <v>2.35</v>
      </c>
      <c r="G19" s="2">
        <v>2013</v>
      </c>
      <c r="I19" s="16">
        <f t="shared" si="1"/>
        <v>2.35</v>
      </c>
      <c r="J19" s="16">
        <f t="shared" si="1"/>
        <v>2.35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1" t="s">
        <v>540</v>
      </c>
      <c r="C20" s="4" t="s">
        <v>19</v>
      </c>
      <c r="D20" s="4" t="s">
        <v>27</v>
      </c>
      <c r="E20" s="13" t="s">
        <v>49</v>
      </c>
      <c r="F20" s="14">
        <v>17.75</v>
      </c>
      <c r="G20" s="1">
        <v>2012</v>
      </c>
      <c r="I20" s="16">
        <f t="shared" si="1"/>
        <v>17.75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6" t="s">
        <v>301</v>
      </c>
      <c r="C21" s="4" t="s">
        <v>17</v>
      </c>
      <c r="D21" s="4" t="s">
        <v>50</v>
      </c>
      <c r="E21" s="13" t="s">
        <v>49</v>
      </c>
      <c r="F21" s="14">
        <v>12.2</v>
      </c>
      <c r="G21" s="1">
        <v>2012</v>
      </c>
      <c r="I21" s="16">
        <f t="shared" si="1"/>
        <v>12.2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6" t="s">
        <v>810</v>
      </c>
      <c r="C22" s="4" t="s">
        <v>17</v>
      </c>
      <c r="D22" s="4" t="s">
        <v>48</v>
      </c>
      <c r="E22" s="13" t="s">
        <v>49</v>
      </c>
      <c r="F22" s="14">
        <v>1.3</v>
      </c>
      <c r="G22" s="1">
        <v>2012</v>
      </c>
      <c r="I22" s="16">
        <f t="shared" si="1"/>
        <v>1.3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1" t="s">
        <v>615</v>
      </c>
      <c r="C23" s="4" t="s">
        <v>38</v>
      </c>
      <c r="D23" s="4" t="s">
        <v>24</v>
      </c>
      <c r="E23" s="13" t="s">
        <v>49</v>
      </c>
      <c r="F23" s="14">
        <v>5.1</v>
      </c>
      <c r="G23" s="1">
        <v>2012</v>
      </c>
      <c r="I23" s="16">
        <f t="shared" si="1"/>
        <v>5.1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144</v>
      </c>
      <c r="C24" s="4" t="s">
        <v>17</v>
      </c>
      <c r="D24" s="4" t="s">
        <v>24</v>
      </c>
      <c r="E24" s="13" t="s">
        <v>49</v>
      </c>
      <c r="F24" s="14">
        <v>4.8</v>
      </c>
      <c r="G24" s="1">
        <v>2012</v>
      </c>
      <c r="I24" s="16">
        <f t="shared" si="1"/>
        <v>4.8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6" t="s">
        <v>96</v>
      </c>
      <c r="C25" s="4" t="s">
        <v>19</v>
      </c>
      <c r="D25" s="4" t="s">
        <v>39</v>
      </c>
      <c r="E25" s="13" t="s">
        <v>49</v>
      </c>
      <c r="F25" s="14">
        <v>4.15</v>
      </c>
      <c r="G25" s="1">
        <v>2012</v>
      </c>
      <c r="I25" s="16">
        <f aca="true" t="shared" si="2" ref="I25:M32">+IF($G25&gt;=I$3,$F25,0)</f>
        <v>4.15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6" t="s">
        <v>175</v>
      </c>
      <c r="C26" s="4" t="s">
        <v>17</v>
      </c>
      <c r="D26" s="47" t="s">
        <v>43</v>
      </c>
      <c r="E26" s="13" t="s">
        <v>49</v>
      </c>
      <c r="F26" s="14">
        <v>3.25</v>
      </c>
      <c r="G26" s="1">
        <v>2012</v>
      </c>
      <c r="I26" s="16">
        <f t="shared" si="2"/>
        <v>3.25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162</v>
      </c>
      <c r="C27" s="4" t="s">
        <v>38</v>
      </c>
      <c r="D27" s="4" t="s">
        <v>20</v>
      </c>
      <c r="E27" s="13" t="s">
        <v>49</v>
      </c>
      <c r="F27" s="18">
        <v>2</v>
      </c>
      <c r="G27" s="4">
        <v>2012</v>
      </c>
      <c r="I27" s="16">
        <f t="shared" si="2"/>
        <v>2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406</v>
      </c>
      <c r="C28" s="4" t="s">
        <v>18</v>
      </c>
      <c r="D28" s="47" t="s">
        <v>20</v>
      </c>
      <c r="E28" s="13" t="s">
        <v>49</v>
      </c>
      <c r="F28" s="14">
        <v>1.1</v>
      </c>
      <c r="G28" s="2">
        <v>2012</v>
      </c>
      <c r="I28" s="16">
        <f t="shared" si="2"/>
        <v>1.1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51" t="s">
        <v>689</v>
      </c>
      <c r="C29" s="4" t="s">
        <v>15</v>
      </c>
      <c r="D29" s="4" t="s">
        <v>56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803</v>
      </c>
      <c r="C30" s="4" t="s">
        <v>17</v>
      </c>
      <c r="D30" s="4" t="s">
        <v>32</v>
      </c>
      <c r="E30" s="13" t="s">
        <v>49</v>
      </c>
      <c r="F30" s="14">
        <v>1.3</v>
      </c>
      <c r="G30" s="2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6" t="s">
        <v>786</v>
      </c>
      <c r="C31" s="4" t="s">
        <v>38</v>
      </c>
      <c r="D31" s="4" t="s">
        <v>48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790</v>
      </c>
      <c r="C32" s="4" t="s">
        <v>31</v>
      </c>
      <c r="D32" s="4" t="s">
        <v>28</v>
      </c>
      <c r="E32" s="13" t="s">
        <v>49</v>
      </c>
      <c r="F32" s="14">
        <v>1.3</v>
      </c>
      <c r="G32" s="1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133.35000000000005</v>
      </c>
      <c r="J34" s="17">
        <f>+SUM(J5:J32)</f>
        <v>76.5</v>
      </c>
      <c r="K34" s="17">
        <f>+SUM(K5:K32)</f>
        <v>62.35000000000001</v>
      </c>
      <c r="L34" s="17">
        <f>+SUM(L5:L32)</f>
        <v>33.5</v>
      </c>
      <c r="M34" s="17">
        <f>+SUM(M5:M32)</f>
        <v>19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686</v>
      </c>
      <c r="C40" s="4" t="s">
        <v>15</v>
      </c>
      <c r="D40" s="4" t="s">
        <v>40</v>
      </c>
      <c r="E40" s="13" t="s">
        <v>81</v>
      </c>
      <c r="F40" s="14">
        <v>6.1</v>
      </c>
      <c r="G40" s="1">
        <v>2016</v>
      </c>
      <c r="I40" s="16">
        <f aca="true" t="shared" si="3" ref="I40:I46">+CEILING(IF($I$38&lt;=G40,F40*0.3,0),0.05)</f>
        <v>1.85</v>
      </c>
      <c r="J40" s="16">
        <f aca="true" t="shared" si="4" ref="J40:J46">+CEILING(IF($J$38&lt;=G40,F40*0.3,0),0.05)</f>
        <v>1.85</v>
      </c>
      <c r="K40" s="16">
        <f aca="true" t="shared" si="5" ref="K40:K46">+CEILING(IF($K$38&lt;=G40,F40*0.3,0),0.05)</f>
        <v>1.85</v>
      </c>
      <c r="L40" s="16">
        <f aca="true" t="shared" si="6" ref="L40:L46">+CEILING(IF($L$38&lt;=G40,F40*0.3,0),0.05)</f>
        <v>1.85</v>
      </c>
      <c r="M40" s="16">
        <f aca="true" t="shared" si="7" ref="M40:M46">+CEILING(IF($M$38&lt;=G40,F40*0.3,0),0.05)</f>
        <v>1.85</v>
      </c>
    </row>
    <row r="41" spans="1:13" ht="12.75">
      <c r="A41" s="8">
        <v>2</v>
      </c>
      <c r="B41" s="3" t="s">
        <v>647</v>
      </c>
      <c r="C41" s="4" t="s">
        <v>15</v>
      </c>
      <c r="D41" s="47" t="s">
        <v>93</v>
      </c>
      <c r="E41" s="13" t="s">
        <v>81</v>
      </c>
      <c r="F41" s="14">
        <v>5.25</v>
      </c>
      <c r="G41" s="2">
        <v>2016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1.6</v>
      </c>
      <c r="M41" s="16">
        <f t="shared" si="7"/>
        <v>1.6</v>
      </c>
    </row>
    <row r="42" spans="1:13" ht="12.75">
      <c r="A42" s="8">
        <v>3</v>
      </c>
      <c r="B42" s="42" t="s">
        <v>380</v>
      </c>
      <c r="C42" s="4" t="s">
        <v>26</v>
      </c>
      <c r="D42" s="4" t="s">
        <v>46</v>
      </c>
      <c r="E42" s="13" t="s">
        <v>81</v>
      </c>
      <c r="F42" s="14">
        <v>1.1</v>
      </c>
      <c r="G42" s="1">
        <v>2014</v>
      </c>
      <c r="I42" s="16">
        <f t="shared" si="3"/>
        <v>0.35000000000000003</v>
      </c>
      <c r="J42" s="16">
        <f t="shared" si="4"/>
        <v>0.35000000000000003</v>
      </c>
      <c r="K42" s="16">
        <f t="shared" si="5"/>
        <v>0.35000000000000003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288</v>
      </c>
      <c r="C43" s="4" t="s">
        <v>17</v>
      </c>
      <c r="D43" s="23" t="s">
        <v>37</v>
      </c>
      <c r="E43" s="13" t="s">
        <v>81</v>
      </c>
      <c r="F43" s="14">
        <v>3.35</v>
      </c>
      <c r="G43" s="1">
        <v>2013</v>
      </c>
      <c r="I43" s="16">
        <f t="shared" si="3"/>
        <v>1.05</v>
      </c>
      <c r="J43" s="16">
        <f t="shared" si="4"/>
        <v>1.05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161</v>
      </c>
      <c r="C44" s="4" t="s">
        <v>18</v>
      </c>
      <c r="D44" s="4" t="s">
        <v>27</v>
      </c>
      <c r="E44" s="13" t="s">
        <v>81</v>
      </c>
      <c r="F44" s="14">
        <v>3.9</v>
      </c>
      <c r="G44" s="1">
        <v>2012</v>
      </c>
      <c r="I44" s="16">
        <f t="shared" si="3"/>
        <v>1.2000000000000002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 t="s">
        <v>208</v>
      </c>
      <c r="C45" s="23" t="s">
        <v>17</v>
      </c>
      <c r="D45" s="23" t="s">
        <v>20</v>
      </c>
      <c r="E45" s="13" t="s">
        <v>81</v>
      </c>
      <c r="F45" s="24">
        <v>3.1</v>
      </c>
      <c r="G45" s="25">
        <v>2012</v>
      </c>
      <c r="I45" s="16">
        <f t="shared" si="3"/>
        <v>0.9500000000000001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7.000000000000001</v>
      </c>
      <c r="J48" s="12">
        <f>+SUM(J40:J47)</f>
        <v>4.8500000000000005</v>
      </c>
      <c r="K48" s="12">
        <f>+SUM(K40:K47)</f>
        <v>3.8000000000000003</v>
      </c>
      <c r="L48" s="12">
        <f>+SUM(L40:L47)</f>
        <v>3.45</v>
      </c>
      <c r="M48" s="12">
        <f>+SUM(M40:M47)</f>
        <v>3.45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4" t="s">
        <v>233</v>
      </c>
      <c r="C54" s="4" t="s">
        <v>17</v>
      </c>
      <c r="D54" s="4" t="s">
        <v>36</v>
      </c>
      <c r="E54" s="13">
        <v>2010</v>
      </c>
      <c r="F54" s="14">
        <v>4.15</v>
      </c>
      <c r="G54" s="1">
        <v>2013</v>
      </c>
      <c r="I54" s="16">
        <f>+CEILING(IF($I$52=E54,F54,IF($I$52&lt;=G54,F54*0.3,0)),0.05)</f>
        <v>1.25</v>
      </c>
      <c r="J54" s="16">
        <f>+CEILING(IF($J$52&lt;=G54,F54*0.3,0),0.05)</f>
        <v>1.25</v>
      </c>
      <c r="K54" s="16">
        <f>+CEILING(IF($K$52&lt;=G54,F54*0.3,0),0.05)</f>
        <v>0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3" t="s">
        <v>260</v>
      </c>
      <c r="C55" s="4" t="s">
        <v>41</v>
      </c>
      <c r="D55" s="4" t="s">
        <v>24</v>
      </c>
      <c r="E55" s="13">
        <v>2010</v>
      </c>
      <c r="F55" s="14">
        <v>1</v>
      </c>
      <c r="G55" s="1">
        <v>2013</v>
      </c>
      <c r="I55" s="16">
        <f>+CEILING(IF($I$52=E55,F55,IF($I$52&lt;=G55,F55*0.3,0)),0.05)</f>
        <v>0.30000000000000004</v>
      </c>
      <c r="J55" s="16">
        <f>+CEILING(IF($J$52&lt;=G55,F55*0.3,0),0.05)</f>
        <v>0.30000000000000004</v>
      </c>
      <c r="K55" s="16">
        <f>+CEILING(IF($K$52&lt;=G55,F55*0.3,0),0.05)</f>
        <v>0</v>
      </c>
      <c r="L55" s="16">
        <f>+CEILING(IF($L$52&lt;=G55,F55*0.3,0),0.05)</f>
        <v>0</v>
      </c>
      <c r="M55" s="16">
        <f>CEILING(IF($M$52&lt;=G55,F55*0.3,0),0.05)</f>
        <v>0</v>
      </c>
    </row>
    <row r="56" spans="1:13" ht="12.75">
      <c r="A56" s="8">
        <v>3</v>
      </c>
      <c r="B56" s="41" t="s">
        <v>131</v>
      </c>
      <c r="C56" s="4" t="s">
        <v>17</v>
      </c>
      <c r="D56" s="4" t="s">
        <v>34</v>
      </c>
      <c r="E56" s="13">
        <v>2010</v>
      </c>
      <c r="F56" s="14">
        <v>7.35</v>
      </c>
      <c r="G56" s="1">
        <v>2012</v>
      </c>
      <c r="I56" s="16">
        <f>+CEILING(IF($I$52=E56,F56,IF($I$52&lt;=G56,F56*0.3,0)),0.05)</f>
        <v>2.25</v>
      </c>
      <c r="J56" s="16">
        <f>+CEILING(IF($J$52&lt;=G56,F56*0.3,0),0.05)</f>
        <v>0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B57" s="41" t="s">
        <v>130</v>
      </c>
      <c r="C57" s="4" t="s">
        <v>26</v>
      </c>
      <c r="D57" s="4" t="s">
        <v>33</v>
      </c>
      <c r="E57" s="13">
        <v>2010</v>
      </c>
      <c r="F57" s="14">
        <v>3.95</v>
      </c>
      <c r="G57" s="1">
        <v>2012</v>
      </c>
      <c r="I57" s="16">
        <f>+CEILING(IF($I$52=E57,F57,IF($I$52&lt;=G57,F57*0.3,0)),0.05)</f>
        <v>1.2000000000000002</v>
      </c>
      <c r="J57" s="16">
        <f>+CEILING(IF($J$52&lt;=G57,F57*0.3,0),0.05)</f>
        <v>0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B58" s="36" t="s">
        <v>160</v>
      </c>
      <c r="C58" s="4" t="s">
        <v>17</v>
      </c>
      <c r="D58" s="4" t="s">
        <v>93</v>
      </c>
      <c r="E58" s="13">
        <v>2008</v>
      </c>
      <c r="F58" s="14">
        <v>3.15</v>
      </c>
      <c r="G58" s="1">
        <v>2012</v>
      </c>
      <c r="I58" s="16">
        <f>+CEILING(IF($I$52=E58,F58,IF($I$52&lt;=G58,F58*0.3,0)),0.05)</f>
        <v>0.9500000000000001</v>
      </c>
      <c r="J58" s="16">
        <f>+CEILING(IF($J$52&lt;=G58,F58*0.3,0),0.05)</f>
        <v>0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1:13" ht="12.75">
      <c r="A59" s="8">
        <v>6</v>
      </c>
      <c r="B59" s="42" t="s">
        <v>114</v>
      </c>
      <c r="C59" s="4" t="s">
        <v>17</v>
      </c>
      <c r="D59" s="4" t="s">
        <v>46</v>
      </c>
      <c r="E59" s="13">
        <v>2008</v>
      </c>
      <c r="F59" s="14">
        <v>0.9</v>
      </c>
      <c r="G59" s="1">
        <v>2012</v>
      </c>
      <c r="I59" s="16">
        <f aca="true" t="shared" si="8" ref="I59:I68">+CEILING(IF($I$52=E59,F59,IF($I$52&lt;=G59,F59*0.3,0)),0.05)</f>
        <v>0.30000000000000004</v>
      </c>
      <c r="J59" s="16">
        <f aca="true" t="shared" si="9" ref="J59:J68">+CEILING(IF($J$52&lt;=G59,F59*0.3,0),0.05)</f>
        <v>0</v>
      </c>
      <c r="K59" s="16">
        <f aca="true" t="shared" si="10" ref="K59:K68">+CEILING(IF($K$52&lt;=G59,F59*0.3,0),0.05)</f>
        <v>0</v>
      </c>
      <c r="L59" s="16">
        <f aca="true" t="shared" si="11" ref="L59:L68">+CEILING(IF($L$52&lt;=G59,F59*0.3,0),0.05)</f>
        <v>0</v>
      </c>
      <c r="M59" s="16">
        <f aca="true" t="shared" si="12" ref="M59:M68">CEILING(IF($M$52&lt;=G59,F59*0.3,0),0.05)</f>
        <v>0</v>
      </c>
    </row>
    <row r="60" spans="1:13" ht="12.75">
      <c r="A60" s="8">
        <v>7</v>
      </c>
      <c r="B60" s="36" t="s">
        <v>381</v>
      </c>
      <c r="C60" s="4" t="s">
        <v>17</v>
      </c>
      <c r="D60" s="4" t="s">
        <v>23</v>
      </c>
      <c r="E60" s="13">
        <v>2011</v>
      </c>
      <c r="F60" s="18">
        <v>2.45</v>
      </c>
      <c r="G60" s="4">
        <v>2012</v>
      </c>
      <c r="I60" s="16">
        <f t="shared" si="8"/>
        <v>0.75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41" t="s">
        <v>187</v>
      </c>
      <c r="C61" s="4" t="s">
        <v>38</v>
      </c>
      <c r="D61" s="4" t="s">
        <v>23</v>
      </c>
      <c r="E61" s="13">
        <v>2011</v>
      </c>
      <c r="F61" s="14">
        <v>2.4</v>
      </c>
      <c r="G61" s="1">
        <v>2012</v>
      </c>
      <c r="I61" s="16">
        <f t="shared" si="8"/>
        <v>0.75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524</v>
      </c>
      <c r="C62" s="4" t="s">
        <v>15</v>
      </c>
      <c r="D62" s="47" t="s">
        <v>50</v>
      </c>
      <c r="E62" s="13">
        <v>2011</v>
      </c>
      <c r="F62" s="14">
        <v>1.2</v>
      </c>
      <c r="G62" s="2">
        <v>2012</v>
      </c>
      <c r="I62" s="16">
        <f t="shared" si="8"/>
        <v>0.4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128</v>
      </c>
      <c r="C63" s="4" t="s">
        <v>41</v>
      </c>
      <c r="D63" s="4" t="s">
        <v>30</v>
      </c>
      <c r="E63" s="13">
        <v>2012</v>
      </c>
      <c r="F63" s="14">
        <v>1.3</v>
      </c>
      <c r="G63" s="2">
        <v>2012</v>
      </c>
      <c r="I63" s="16">
        <f t="shared" si="8"/>
        <v>1.3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6" t="s">
        <v>587</v>
      </c>
      <c r="C64" s="4" t="s">
        <v>38</v>
      </c>
      <c r="D64" s="4" t="s">
        <v>101</v>
      </c>
      <c r="E64" s="13">
        <v>2012</v>
      </c>
      <c r="F64" s="14">
        <v>5.1</v>
      </c>
      <c r="G64" s="1">
        <v>2012</v>
      </c>
      <c r="I64" s="16">
        <f t="shared" si="8"/>
        <v>5.1000000000000005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6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42"/>
      <c r="D66" s="4"/>
      <c r="E66" s="13"/>
      <c r="F66" s="14"/>
      <c r="G66" s="1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4"/>
      <c r="D67" s="4"/>
      <c r="E67" s="13"/>
      <c r="F67" s="14"/>
      <c r="G67" s="1"/>
      <c r="I67" s="16">
        <f t="shared" si="8"/>
        <v>0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36"/>
      <c r="D68" s="4"/>
      <c r="E68" s="13"/>
      <c r="F68" s="14"/>
      <c r="G68" s="2"/>
      <c r="I68" s="16">
        <f t="shared" si="8"/>
        <v>0</v>
      </c>
      <c r="J68" s="16">
        <f t="shared" si="9"/>
        <v>0</v>
      </c>
      <c r="K68" s="16">
        <f t="shared" si="10"/>
        <v>0</v>
      </c>
      <c r="L68" s="16">
        <f t="shared" si="11"/>
        <v>0</v>
      </c>
      <c r="M68" s="16">
        <f t="shared" si="12"/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14.55</v>
      </c>
      <c r="J70" s="17">
        <f>+SUM(J54:J69)</f>
        <v>1.55</v>
      </c>
      <c r="K70" s="17">
        <f>+SUM(K54:K69)</f>
        <v>0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104" t="s">
        <v>52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55</v>
      </c>
      <c r="C74" s="6"/>
      <c r="D74" s="6"/>
      <c r="E74" s="6"/>
      <c r="F74" s="6" t="s">
        <v>54</v>
      </c>
      <c r="G74" s="6" t="s">
        <v>53</v>
      </c>
      <c r="I74" s="7">
        <f>+I$3</f>
        <v>2012</v>
      </c>
      <c r="J74" s="7">
        <f>+J$3</f>
        <v>2013</v>
      </c>
      <c r="K74" s="7">
        <f>+K$3</f>
        <v>2014</v>
      </c>
      <c r="L74" s="7">
        <f>+L$3</f>
        <v>2015</v>
      </c>
      <c r="M74" s="7">
        <f>+M$3</f>
        <v>2016</v>
      </c>
    </row>
    <row r="75" spans="1:13" ht="7.5" customHeight="1">
      <c r="A75" s="8"/>
      <c r="I75" s="12"/>
      <c r="J75" s="12"/>
      <c r="K75" s="12"/>
      <c r="L75" s="12"/>
      <c r="M75" s="12"/>
    </row>
    <row r="76" spans="1:13" ht="12.75">
      <c r="A76" s="8">
        <v>1</v>
      </c>
      <c r="B76" s="102"/>
      <c r="C76" s="102"/>
      <c r="D76" s="102"/>
      <c r="E76" s="102"/>
      <c r="F76" s="18"/>
      <c r="G76" s="4"/>
      <c r="I76" s="29">
        <f>+F76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2</v>
      </c>
      <c r="B77" s="102"/>
      <c r="C77" s="102"/>
      <c r="D77" s="102"/>
      <c r="E77" s="102"/>
      <c r="F77" s="18"/>
      <c r="G77" s="4"/>
      <c r="I77" s="29">
        <f>+F77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42">
      <selection activeCell="B73" sqref="B7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622</v>
      </c>
      <c r="C5" s="4" t="s">
        <v>17</v>
      </c>
      <c r="D5" s="4" t="s">
        <v>34</v>
      </c>
      <c r="E5" s="13" t="s">
        <v>49</v>
      </c>
      <c r="F5" s="14">
        <v>5.2</v>
      </c>
      <c r="G5" s="1">
        <v>2016</v>
      </c>
      <c r="I5" s="16">
        <f aca="true" t="shared" si="0" ref="I5:M14">+IF($G5&gt;=I$3,$F5,0)</f>
        <v>5.2</v>
      </c>
      <c r="J5" s="16">
        <f t="shared" si="0"/>
        <v>5.2</v>
      </c>
      <c r="K5" s="16">
        <f t="shared" si="0"/>
        <v>5.2</v>
      </c>
      <c r="L5" s="16">
        <f t="shared" si="0"/>
        <v>5.2</v>
      </c>
      <c r="M5" s="16">
        <f t="shared" si="0"/>
        <v>5.2</v>
      </c>
    </row>
    <row r="6" spans="1:13" ht="12.75">
      <c r="A6" s="8">
        <v>2</v>
      </c>
      <c r="B6" s="3" t="s">
        <v>670</v>
      </c>
      <c r="C6" s="4" t="s">
        <v>38</v>
      </c>
      <c r="D6" s="4" t="s">
        <v>45</v>
      </c>
      <c r="E6" s="13" t="s">
        <v>49</v>
      </c>
      <c r="F6" s="9">
        <v>2.5</v>
      </c>
      <c r="G6" s="10">
        <v>2016</v>
      </c>
      <c r="I6" s="16">
        <f t="shared" si="0"/>
        <v>2.5</v>
      </c>
      <c r="J6" s="16">
        <f t="shared" si="0"/>
        <v>2.5</v>
      </c>
      <c r="K6" s="16">
        <f t="shared" si="0"/>
        <v>2.5</v>
      </c>
      <c r="L6" s="16">
        <f t="shared" si="0"/>
        <v>2.5</v>
      </c>
      <c r="M6" s="16">
        <f t="shared" si="0"/>
        <v>2.5</v>
      </c>
    </row>
    <row r="7" spans="1:13" ht="12.75">
      <c r="A7" s="8">
        <v>3</v>
      </c>
      <c r="B7" s="3" t="s">
        <v>632</v>
      </c>
      <c r="C7" s="47" t="s">
        <v>38</v>
      </c>
      <c r="D7" s="4" t="s">
        <v>37</v>
      </c>
      <c r="E7" s="13" t="s">
        <v>49</v>
      </c>
      <c r="F7" s="14">
        <v>2.2</v>
      </c>
      <c r="G7" s="1">
        <v>2016</v>
      </c>
      <c r="I7" s="16">
        <f t="shared" si="0"/>
        <v>2.2</v>
      </c>
      <c r="J7" s="16">
        <f t="shared" si="0"/>
        <v>2.2</v>
      </c>
      <c r="K7" s="16">
        <f t="shared" si="0"/>
        <v>2.2</v>
      </c>
      <c r="L7" s="16">
        <f t="shared" si="0"/>
        <v>2.2</v>
      </c>
      <c r="M7" s="16">
        <f t="shared" si="0"/>
        <v>2.2</v>
      </c>
    </row>
    <row r="8" spans="1:13" ht="12.75">
      <c r="A8" s="8">
        <v>4</v>
      </c>
      <c r="B8" s="3" t="s">
        <v>551</v>
      </c>
      <c r="C8" s="47" t="s">
        <v>17</v>
      </c>
      <c r="D8" s="4" t="s">
        <v>101</v>
      </c>
      <c r="E8" s="13" t="s">
        <v>49</v>
      </c>
      <c r="F8" s="14">
        <v>20.9</v>
      </c>
      <c r="G8" s="1">
        <v>2015</v>
      </c>
      <c r="I8" s="16">
        <f t="shared" si="0"/>
        <v>20.9</v>
      </c>
      <c r="J8" s="16">
        <f t="shared" si="0"/>
        <v>20.9</v>
      </c>
      <c r="K8" s="16">
        <f t="shared" si="0"/>
        <v>20.9</v>
      </c>
      <c r="L8" s="16">
        <f t="shared" si="0"/>
        <v>20.9</v>
      </c>
      <c r="M8" s="16">
        <f t="shared" si="0"/>
        <v>0</v>
      </c>
    </row>
    <row r="9" spans="1:13" ht="12.75">
      <c r="A9" s="8">
        <v>5</v>
      </c>
      <c r="B9" s="3" t="s">
        <v>443</v>
      </c>
      <c r="C9" s="4" t="s">
        <v>19</v>
      </c>
      <c r="D9" s="4" t="s">
        <v>37</v>
      </c>
      <c r="E9" s="13" t="s">
        <v>49</v>
      </c>
      <c r="F9" s="14">
        <v>7.65</v>
      </c>
      <c r="G9" s="1">
        <v>2015</v>
      </c>
      <c r="I9" s="16">
        <f t="shared" si="0"/>
        <v>7.65</v>
      </c>
      <c r="J9" s="16">
        <f t="shared" si="0"/>
        <v>7.65</v>
      </c>
      <c r="K9" s="16">
        <f t="shared" si="0"/>
        <v>7.65</v>
      </c>
      <c r="L9" s="16">
        <f t="shared" si="0"/>
        <v>7.65</v>
      </c>
      <c r="M9" s="16">
        <f t="shared" si="0"/>
        <v>0</v>
      </c>
    </row>
    <row r="10" spans="1:13" ht="12.75">
      <c r="A10" s="8">
        <v>6</v>
      </c>
      <c r="B10" s="3" t="s">
        <v>479</v>
      </c>
      <c r="C10" s="4" t="s">
        <v>15</v>
      </c>
      <c r="D10" s="4" t="s">
        <v>35</v>
      </c>
      <c r="E10" s="47" t="s">
        <v>49</v>
      </c>
      <c r="F10" s="9">
        <v>6.7</v>
      </c>
      <c r="G10" s="10">
        <v>2015</v>
      </c>
      <c r="I10" s="16">
        <f t="shared" si="0"/>
        <v>6.7</v>
      </c>
      <c r="J10" s="16">
        <f t="shared" si="0"/>
        <v>6.7</v>
      </c>
      <c r="K10" s="16">
        <f t="shared" si="0"/>
        <v>6.7</v>
      </c>
      <c r="L10" s="16">
        <f t="shared" si="0"/>
        <v>6.7</v>
      </c>
      <c r="M10" s="16">
        <f t="shared" si="0"/>
        <v>0</v>
      </c>
    </row>
    <row r="11" spans="1:13" ht="12.75">
      <c r="A11" s="8">
        <v>7</v>
      </c>
      <c r="B11" s="3" t="s">
        <v>485</v>
      </c>
      <c r="C11" s="4" t="s">
        <v>18</v>
      </c>
      <c r="D11" s="4" t="s">
        <v>32</v>
      </c>
      <c r="E11" s="13" t="s">
        <v>49</v>
      </c>
      <c r="F11" s="14">
        <v>5.1</v>
      </c>
      <c r="G11" s="1">
        <v>2015</v>
      </c>
      <c r="I11" s="16">
        <f t="shared" si="0"/>
        <v>5.1</v>
      </c>
      <c r="J11" s="16">
        <f t="shared" si="0"/>
        <v>5.1</v>
      </c>
      <c r="K11" s="16">
        <f t="shared" si="0"/>
        <v>5.1</v>
      </c>
      <c r="L11" s="16">
        <f t="shared" si="0"/>
        <v>5.1</v>
      </c>
      <c r="M11" s="16">
        <f t="shared" si="0"/>
        <v>0</v>
      </c>
    </row>
    <row r="12" spans="1:13" ht="12.75">
      <c r="A12" s="8">
        <v>8</v>
      </c>
      <c r="B12" s="34" t="s">
        <v>518</v>
      </c>
      <c r="C12" s="4" t="s">
        <v>17</v>
      </c>
      <c r="D12" s="4" t="s">
        <v>25</v>
      </c>
      <c r="E12" s="13" t="s">
        <v>49</v>
      </c>
      <c r="F12" s="14">
        <v>3.6</v>
      </c>
      <c r="G12" s="1">
        <v>2015</v>
      </c>
      <c r="I12" s="16">
        <f t="shared" si="0"/>
        <v>3.6</v>
      </c>
      <c r="J12" s="16">
        <f t="shared" si="0"/>
        <v>3.6</v>
      </c>
      <c r="K12" s="16">
        <f t="shared" si="0"/>
        <v>3.6</v>
      </c>
      <c r="L12" s="16">
        <f t="shared" si="0"/>
        <v>3.6</v>
      </c>
      <c r="M12" s="16">
        <f t="shared" si="0"/>
        <v>0</v>
      </c>
    </row>
    <row r="13" spans="1:13" ht="12.75">
      <c r="A13" s="8">
        <v>9</v>
      </c>
      <c r="B13" s="21" t="s">
        <v>334</v>
      </c>
      <c r="C13" s="4" t="s">
        <v>19</v>
      </c>
      <c r="D13" s="4" t="s">
        <v>47</v>
      </c>
      <c r="E13" s="13" t="s">
        <v>49</v>
      </c>
      <c r="F13" s="14">
        <v>7.05</v>
      </c>
      <c r="G13" s="1">
        <v>2014</v>
      </c>
      <c r="I13" s="16">
        <f t="shared" si="0"/>
        <v>7.05</v>
      </c>
      <c r="J13" s="16">
        <f t="shared" si="0"/>
        <v>7.05</v>
      </c>
      <c r="K13" s="16">
        <f t="shared" si="0"/>
        <v>7.05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343</v>
      </c>
      <c r="C14" s="4" t="s">
        <v>41</v>
      </c>
      <c r="D14" s="4" t="s">
        <v>28</v>
      </c>
      <c r="E14" s="48" t="s">
        <v>49</v>
      </c>
      <c r="F14" s="14">
        <v>6.85</v>
      </c>
      <c r="G14" s="1">
        <v>2014</v>
      </c>
      <c r="I14" s="16">
        <f t="shared" si="0"/>
        <v>6.85</v>
      </c>
      <c r="J14" s="16">
        <f t="shared" si="0"/>
        <v>6.85</v>
      </c>
      <c r="K14" s="16">
        <f t="shared" si="0"/>
        <v>6.85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4" t="s">
        <v>344</v>
      </c>
      <c r="C15" s="4" t="s">
        <v>17</v>
      </c>
      <c r="D15" s="47" t="s">
        <v>29</v>
      </c>
      <c r="E15" s="13" t="s">
        <v>49</v>
      </c>
      <c r="F15" s="14">
        <v>5.15</v>
      </c>
      <c r="G15" s="1">
        <v>2014</v>
      </c>
      <c r="I15" s="16">
        <f aca="true" t="shared" si="1" ref="I15:M24">+IF($G15&gt;=I$3,$F15,0)</f>
        <v>5.15</v>
      </c>
      <c r="J15" s="16">
        <f t="shared" si="1"/>
        <v>5.15</v>
      </c>
      <c r="K15" s="16">
        <f t="shared" si="1"/>
        <v>5.15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5" t="s">
        <v>609</v>
      </c>
      <c r="C16" s="4" t="s">
        <v>31</v>
      </c>
      <c r="D16" s="4" t="s">
        <v>43</v>
      </c>
      <c r="E16" s="13" t="s">
        <v>49</v>
      </c>
      <c r="F16" s="14">
        <v>3.65</v>
      </c>
      <c r="G16" s="1">
        <v>2014</v>
      </c>
      <c r="I16" s="16">
        <f t="shared" si="1"/>
        <v>3.65</v>
      </c>
      <c r="J16" s="16">
        <f t="shared" si="1"/>
        <v>3.65</v>
      </c>
      <c r="K16" s="16">
        <f t="shared" si="1"/>
        <v>3.65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282</v>
      </c>
      <c r="C17" s="4" t="s">
        <v>17</v>
      </c>
      <c r="D17" s="4" t="s">
        <v>33</v>
      </c>
      <c r="E17" s="4" t="s">
        <v>49</v>
      </c>
      <c r="F17" s="9">
        <v>6.35</v>
      </c>
      <c r="G17" s="10">
        <v>2013</v>
      </c>
      <c r="I17" s="16">
        <f t="shared" si="1"/>
        <v>6.35</v>
      </c>
      <c r="J17" s="16">
        <f t="shared" si="1"/>
        <v>6.35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325</v>
      </c>
      <c r="C18" s="4" t="s">
        <v>19</v>
      </c>
      <c r="D18" s="4" t="s">
        <v>48</v>
      </c>
      <c r="E18" s="13" t="s">
        <v>49</v>
      </c>
      <c r="F18" s="14">
        <v>5.95</v>
      </c>
      <c r="G18" s="1">
        <v>2013</v>
      </c>
      <c r="I18" s="16">
        <f t="shared" si="1"/>
        <v>5.95</v>
      </c>
      <c r="J18" s="16">
        <f t="shared" si="1"/>
        <v>5.95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246</v>
      </c>
      <c r="C19" s="4" t="s">
        <v>17</v>
      </c>
      <c r="D19" s="4" t="s">
        <v>40</v>
      </c>
      <c r="E19" s="13" t="s">
        <v>49</v>
      </c>
      <c r="F19" s="14">
        <v>4.75</v>
      </c>
      <c r="G19" s="1">
        <v>2013</v>
      </c>
      <c r="I19" s="16">
        <f t="shared" si="1"/>
        <v>4.75</v>
      </c>
      <c r="J19" s="16">
        <f t="shared" si="1"/>
        <v>4.75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5" t="s">
        <v>433</v>
      </c>
      <c r="C20" s="4" t="s">
        <v>19</v>
      </c>
      <c r="D20" s="4" t="s">
        <v>21</v>
      </c>
      <c r="E20" s="13" t="s">
        <v>49</v>
      </c>
      <c r="F20" s="14">
        <v>2.6</v>
      </c>
      <c r="G20" s="1">
        <v>2013</v>
      </c>
      <c r="I20" s="16">
        <f t="shared" si="1"/>
        <v>2.6</v>
      </c>
      <c r="J20" s="16">
        <f t="shared" si="1"/>
        <v>2.6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141</v>
      </c>
      <c r="C21" s="47" t="s">
        <v>15</v>
      </c>
      <c r="D21" s="4" t="s">
        <v>34</v>
      </c>
      <c r="E21" s="13" t="s">
        <v>49</v>
      </c>
      <c r="F21" s="14">
        <v>5.75</v>
      </c>
      <c r="G21" s="1">
        <v>2012</v>
      </c>
      <c r="I21" s="16">
        <f t="shared" si="1"/>
        <v>5.75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146</v>
      </c>
      <c r="C22" s="4" t="s">
        <v>17</v>
      </c>
      <c r="D22" s="47" t="s">
        <v>47</v>
      </c>
      <c r="E22" s="13" t="s">
        <v>49</v>
      </c>
      <c r="F22" s="14">
        <v>3.9</v>
      </c>
      <c r="G22" s="1">
        <v>2012</v>
      </c>
      <c r="I22" s="16">
        <f t="shared" si="1"/>
        <v>3.9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169</v>
      </c>
      <c r="C23" s="47" t="s">
        <v>18</v>
      </c>
      <c r="D23" s="4" t="s">
        <v>34</v>
      </c>
      <c r="E23" s="13" t="s">
        <v>49</v>
      </c>
      <c r="F23" s="14">
        <v>2.9</v>
      </c>
      <c r="G23" s="1">
        <v>2012</v>
      </c>
      <c r="I23" s="16">
        <f t="shared" si="1"/>
        <v>2.9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183</v>
      </c>
      <c r="C24" s="47" t="s">
        <v>26</v>
      </c>
      <c r="D24" s="4" t="s">
        <v>20</v>
      </c>
      <c r="E24" s="13" t="s">
        <v>49</v>
      </c>
      <c r="F24" s="14">
        <v>2.15</v>
      </c>
      <c r="G24" s="1">
        <v>2012</v>
      </c>
      <c r="I24" s="16">
        <f t="shared" si="1"/>
        <v>2.15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627</v>
      </c>
      <c r="C25" s="4" t="s">
        <v>31</v>
      </c>
      <c r="D25" s="47" t="s">
        <v>21</v>
      </c>
      <c r="E25" s="13" t="s">
        <v>49</v>
      </c>
      <c r="F25" s="18">
        <v>2.05</v>
      </c>
      <c r="G25" s="4">
        <v>2012</v>
      </c>
      <c r="I25" s="16">
        <f aca="true" t="shared" si="2" ref="I25:M32">+IF($G25&gt;=I$3,$F25,0)</f>
        <v>2.05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743</v>
      </c>
      <c r="C26" s="4" t="s">
        <v>38</v>
      </c>
      <c r="D26" s="47" t="s">
        <v>16</v>
      </c>
      <c r="E26" s="4" t="s">
        <v>49</v>
      </c>
      <c r="F26" s="18">
        <v>1.3</v>
      </c>
      <c r="G26" s="4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5" t="s">
        <v>772</v>
      </c>
      <c r="C27" s="4" t="s">
        <v>38</v>
      </c>
      <c r="D27" s="4" t="s">
        <v>21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5" t="s">
        <v>733</v>
      </c>
      <c r="C28" s="4" t="s">
        <v>38</v>
      </c>
      <c r="D28" s="4" t="s">
        <v>33</v>
      </c>
      <c r="E28" s="13" t="s">
        <v>49</v>
      </c>
      <c r="F28" s="18">
        <v>1.3</v>
      </c>
      <c r="G28" s="4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785</v>
      </c>
      <c r="C29" s="4" t="s">
        <v>38</v>
      </c>
      <c r="D29" s="4" t="s">
        <v>101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5" t="s">
        <v>793</v>
      </c>
      <c r="C30" s="4" t="s">
        <v>18</v>
      </c>
      <c r="D30" s="4" t="s">
        <v>30</v>
      </c>
      <c r="E30" s="13" t="s">
        <v>49</v>
      </c>
      <c r="F30" s="14">
        <v>1.3</v>
      </c>
      <c r="G30" s="1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809</v>
      </c>
      <c r="C31" s="4" t="s">
        <v>17</v>
      </c>
      <c r="D31" s="4" t="s">
        <v>28</v>
      </c>
      <c r="E31" s="13" t="s">
        <v>49</v>
      </c>
      <c r="F31" s="9">
        <v>1.3</v>
      </c>
      <c r="G31" s="10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5" t="s">
        <v>718</v>
      </c>
      <c r="C32" s="4" t="s">
        <v>15</v>
      </c>
      <c r="D32" s="4" t="s">
        <v>28</v>
      </c>
      <c r="E32" s="13" t="s">
        <v>49</v>
      </c>
      <c r="F32" s="9">
        <v>1.3</v>
      </c>
      <c r="G32" s="10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C34" s="47"/>
      <c r="D34" s="4"/>
      <c r="E34" s="13"/>
      <c r="F34" s="14"/>
      <c r="G34" s="1"/>
      <c r="I34" s="17">
        <f>+SUM(I5:I32)</f>
        <v>122.05</v>
      </c>
      <c r="J34" s="17">
        <f>+SUM(J5:J32)</f>
        <v>96.2</v>
      </c>
      <c r="K34" s="17">
        <f>+SUM(K5:K32)</f>
        <v>76.55000000000001</v>
      </c>
      <c r="L34" s="17">
        <f>+SUM(L5:L32)</f>
        <v>53.85</v>
      </c>
      <c r="M34" s="17">
        <f>+SUM(M5:M32)</f>
        <v>9.9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5" t="s">
        <v>552</v>
      </c>
      <c r="C40" s="4" t="s">
        <v>17</v>
      </c>
      <c r="D40" s="4" t="s">
        <v>37</v>
      </c>
      <c r="E40" s="48" t="s">
        <v>81</v>
      </c>
      <c r="F40" s="14">
        <v>10.65</v>
      </c>
      <c r="G40" s="1">
        <v>2016</v>
      </c>
      <c r="I40" s="16">
        <f aca="true" t="shared" si="3" ref="I40:I46">+CEILING(IF($I$38&lt;=G40,F40*0.3,0),0.05)</f>
        <v>3.2</v>
      </c>
      <c r="J40" s="16">
        <f aca="true" t="shared" si="4" ref="J40:J46">+CEILING(IF($J$38&lt;=G40,F40*0.3,0),0.05)</f>
        <v>3.2</v>
      </c>
      <c r="K40" s="16">
        <f aca="true" t="shared" si="5" ref="K40:K46">+CEILING(IF($K$38&lt;=G40,F40*0.3,0),0.05)</f>
        <v>3.2</v>
      </c>
      <c r="L40" s="16">
        <f aca="true" t="shared" si="6" ref="L40:L46">+CEILING(IF($L$38&lt;=G40,F40*0.3,0),0.05)</f>
        <v>3.2</v>
      </c>
      <c r="M40" s="16">
        <f aca="true" t="shared" si="7" ref="M40:M46">+CEILING(IF($M$38&lt;=G40,F40*0.3,0),0.05)</f>
        <v>3.2</v>
      </c>
    </row>
    <row r="41" spans="1:13" ht="12.75">
      <c r="A41" s="8">
        <v>2</v>
      </c>
      <c r="B41" s="45" t="s">
        <v>593</v>
      </c>
      <c r="C41" s="4" t="s">
        <v>26</v>
      </c>
      <c r="D41" s="4" t="s">
        <v>34</v>
      </c>
      <c r="E41" s="13" t="s">
        <v>81</v>
      </c>
      <c r="F41" s="14">
        <v>9.1</v>
      </c>
      <c r="G41" s="1">
        <v>2016</v>
      </c>
      <c r="I41" s="16">
        <f t="shared" si="3"/>
        <v>2.75</v>
      </c>
      <c r="J41" s="16">
        <f t="shared" si="4"/>
        <v>2.75</v>
      </c>
      <c r="K41" s="16">
        <f t="shared" si="5"/>
        <v>2.75</v>
      </c>
      <c r="L41" s="16">
        <f t="shared" si="6"/>
        <v>2.75</v>
      </c>
      <c r="M41" s="16">
        <f t="shared" si="7"/>
        <v>2.75</v>
      </c>
    </row>
    <row r="42" spans="1:13" ht="12.75">
      <c r="A42" s="8">
        <v>3</v>
      </c>
      <c r="B42" s="3" t="s">
        <v>659</v>
      </c>
      <c r="C42" s="47" t="s">
        <v>19</v>
      </c>
      <c r="D42" s="4" t="s">
        <v>29</v>
      </c>
      <c r="E42" s="13" t="s">
        <v>81</v>
      </c>
      <c r="F42" s="14">
        <v>6.65</v>
      </c>
      <c r="G42" s="1">
        <v>2016</v>
      </c>
      <c r="I42" s="16">
        <f t="shared" si="3"/>
        <v>2</v>
      </c>
      <c r="J42" s="16">
        <f t="shared" si="4"/>
        <v>2</v>
      </c>
      <c r="K42" s="16">
        <f t="shared" si="5"/>
        <v>2</v>
      </c>
      <c r="L42" s="16">
        <f t="shared" si="6"/>
        <v>2</v>
      </c>
      <c r="M42" s="16">
        <f t="shared" si="7"/>
        <v>2</v>
      </c>
    </row>
    <row r="43" spans="1:13" ht="12.75">
      <c r="A43" s="8">
        <v>4</v>
      </c>
      <c r="B43" s="3" t="s">
        <v>660</v>
      </c>
      <c r="C43" s="4" t="s">
        <v>19</v>
      </c>
      <c r="D43" s="4" t="s">
        <v>33</v>
      </c>
      <c r="E43" s="4" t="s">
        <v>81</v>
      </c>
      <c r="F43" s="9">
        <v>6.65</v>
      </c>
      <c r="G43" s="10">
        <v>2016</v>
      </c>
      <c r="I43" s="16">
        <f t="shared" si="3"/>
        <v>2</v>
      </c>
      <c r="J43" s="16">
        <f t="shared" si="4"/>
        <v>2</v>
      </c>
      <c r="K43" s="16">
        <f t="shared" si="5"/>
        <v>2</v>
      </c>
      <c r="L43" s="16">
        <f t="shared" si="6"/>
        <v>2</v>
      </c>
      <c r="M43" s="16">
        <f t="shared" si="7"/>
        <v>2</v>
      </c>
    </row>
    <row r="44" spans="1:13" ht="12.75">
      <c r="A44" s="8">
        <v>5</v>
      </c>
      <c r="B44" s="3" t="s">
        <v>521</v>
      </c>
      <c r="C44" s="4" t="s">
        <v>17</v>
      </c>
      <c r="D44" s="4" t="s">
        <v>45</v>
      </c>
      <c r="E44" s="13" t="s">
        <v>81</v>
      </c>
      <c r="F44" s="16">
        <v>7.05</v>
      </c>
      <c r="G44" s="13">
        <v>2015</v>
      </c>
      <c r="I44" s="16">
        <f t="shared" si="3"/>
        <v>2.15</v>
      </c>
      <c r="J44" s="16">
        <f t="shared" si="4"/>
        <v>2.15</v>
      </c>
      <c r="K44" s="16">
        <f t="shared" si="5"/>
        <v>2.15</v>
      </c>
      <c r="L44" s="16">
        <f t="shared" si="6"/>
        <v>2.15</v>
      </c>
      <c r="M44" s="16">
        <f t="shared" si="7"/>
        <v>0</v>
      </c>
    </row>
    <row r="45" spans="1:13" ht="12.75">
      <c r="A45" s="8">
        <v>6</v>
      </c>
      <c r="B45" s="27" t="s">
        <v>281</v>
      </c>
      <c r="C45" s="4" t="s">
        <v>15</v>
      </c>
      <c r="D45" s="4" t="s">
        <v>16</v>
      </c>
      <c r="E45" s="13" t="s">
        <v>81</v>
      </c>
      <c r="F45" s="14">
        <v>6.9</v>
      </c>
      <c r="G45" s="1">
        <v>2013</v>
      </c>
      <c r="I45" s="16">
        <f t="shared" si="3"/>
        <v>2.1</v>
      </c>
      <c r="J45" s="16">
        <f t="shared" si="4"/>
        <v>2.1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45"/>
      <c r="C46" s="22" t="s">
        <v>100</v>
      </c>
      <c r="D46" s="22" t="s">
        <v>100</v>
      </c>
      <c r="E46" s="22" t="s">
        <v>100</v>
      </c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14.2</v>
      </c>
      <c r="J48" s="12">
        <f>+SUM(J40:J47)</f>
        <v>14.2</v>
      </c>
      <c r="K48" s="12">
        <f>+SUM(K40:K47)</f>
        <v>12.1</v>
      </c>
      <c r="L48" s="12">
        <f>+SUM(L40:L47)</f>
        <v>12.1</v>
      </c>
      <c r="M48" s="12">
        <f>+SUM(M40:M47)</f>
        <v>9.95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5" t="s">
        <v>553</v>
      </c>
      <c r="C54" s="4" t="s">
        <v>38</v>
      </c>
      <c r="D54" s="4" t="s">
        <v>35</v>
      </c>
      <c r="E54" s="13">
        <v>2012</v>
      </c>
      <c r="F54" s="14">
        <v>7.7</v>
      </c>
      <c r="G54" s="1">
        <v>2014</v>
      </c>
      <c r="I54" s="16">
        <f aca="true" t="shared" si="8" ref="I54:I71">+CEILING(IF($I$52=E54,F54,IF($I$52&lt;=G54,F54*0.3,0)),0.05)</f>
        <v>7.7</v>
      </c>
      <c r="J54" s="16">
        <f aca="true" t="shared" si="9" ref="J54:J71">+CEILING(IF($J$52&lt;=G54,F54*0.3,0),0.05)</f>
        <v>2.35</v>
      </c>
      <c r="K54" s="16">
        <f aca="true" t="shared" si="10" ref="K54:K71">+CEILING(IF($K$52&lt;=G54,F54*0.3,0),0.05)</f>
        <v>2.35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7" t="s">
        <v>412</v>
      </c>
      <c r="C55" s="4" t="s">
        <v>19</v>
      </c>
      <c r="D55" s="4" t="s">
        <v>46</v>
      </c>
      <c r="E55" s="13">
        <v>2010</v>
      </c>
      <c r="F55" s="14">
        <v>4.25</v>
      </c>
      <c r="G55" s="1">
        <v>2014</v>
      </c>
      <c r="I55" s="16">
        <f t="shared" si="8"/>
        <v>1.3</v>
      </c>
      <c r="J55" s="16">
        <f t="shared" si="9"/>
        <v>1.3</v>
      </c>
      <c r="K55" s="16">
        <f t="shared" si="10"/>
        <v>1.3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411</v>
      </c>
      <c r="C56" s="47" t="s">
        <v>19</v>
      </c>
      <c r="D56" s="4" t="s">
        <v>44</v>
      </c>
      <c r="E56" s="13">
        <v>2011</v>
      </c>
      <c r="F56" s="14">
        <v>3.5</v>
      </c>
      <c r="G56" s="1">
        <v>2014</v>
      </c>
      <c r="I56" s="16">
        <f t="shared" si="8"/>
        <v>1.05</v>
      </c>
      <c r="J56" s="16">
        <f t="shared" si="9"/>
        <v>1.05</v>
      </c>
      <c r="K56" s="16">
        <f t="shared" si="10"/>
        <v>1.05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409</v>
      </c>
      <c r="C57" s="47" t="s">
        <v>38</v>
      </c>
      <c r="D57" s="4" t="s">
        <v>116</v>
      </c>
      <c r="E57" s="13">
        <v>2011</v>
      </c>
      <c r="F57" s="14">
        <v>3.15</v>
      </c>
      <c r="G57" s="1">
        <v>2014</v>
      </c>
      <c r="I57" s="16">
        <f t="shared" si="8"/>
        <v>0.9500000000000001</v>
      </c>
      <c r="J57" s="16">
        <f t="shared" si="9"/>
        <v>0.9500000000000001</v>
      </c>
      <c r="K57" s="16">
        <f t="shared" si="10"/>
        <v>0.9500000000000001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7" t="s">
        <v>408</v>
      </c>
      <c r="C58" s="4" t="s">
        <v>38</v>
      </c>
      <c r="D58" s="4" t="s">
        <v>33</v>
      </c>
      <c r="E58" s="13">
        <v>2011</v>
      </c>
      <c r="F58" s="14">
        <v>2.45</v>
      </c>
      <c r="G58" s="1">
        <v>2014</v>
      </c>
      <c r="I58" s="16">
        <f t="shared" si="8"/>
        <v>0.75</v>
      </c>
      <c r="J58" s="16">
        <f t="shared" si="9"/>
        <v>0.75</v>
      </c>
      <c r="K58" s="16">
        <f t="shared" si="10"/>
        <v>0.75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326</v>
      </c>
      <c r="C59" s="4" t="s">
        <v>17</v>
      </c>
      <c r="D59" s="4" t="s">
        <v>40</v>
      </c>
      <c r="E59" s="13">
        <v>2011</v>
      </c>
      <c r="F59" s="14">
        <v>5.05</v>
      </c>
      <c r="G59" s="1">
        <v>2013</v>
      </c>
      <c r="I59" s="16">
        <f t="shared" si="8"/>
        <v>1.55</v>
      </c>
      <c r="J59" s="16">
        <f t="shared" si="9"/>
        <v>1.55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45" t="s">
        <v>465</v>
      </c>
      <c r="C60" s="4" t="s">
        <v>41</v>
      </c>
      <c r="D60" s="47" t="s">
        <v>44</v>
      </c>
      <c r="E60" s="13">
        <v>2011</v>
      </c>
      <c r="F60" s="14">
        <v>4.05</v>
      </c>
      <c r="G60" s="1">
        <v>2013</v>
      </c>
      <c r="I60" s="16">
        <f t="shared" si="8"/>
        <v>1.25</v>
      </c>
      <c r="J60" s="16">
        <f t="shared" si="9"/>
        <v>1.25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4" t="s">
        <v>256</v>
      </c>
      <c r="C61" s="4" t="s">
        <v>19</v>
      </c>
      <c r="D61" s="4" t="s">
        <v>32</v>
      </c>
      <c r="E61" s="13">
        <v>2010</v>
      </c>
      <c r="F61" s="14">
        <v>2.7</v>
      </c>
      <c r="G61" s="1">
        <v>2013</v>
      </c>
      <c r="I61" s="16">
        <f t="shared" si="8"/>
        <v>0.8500000000000001</v>
      </c>
      <c r="J61" s="16">
        <f t="shared" si="9"/>
        <v>0.8500000000000001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247</v>
      </c>
      <c r="C62" s="4" t="s">
        <v>19</v>
      </c>
      <c r="D62" s="4" t="s">
        <v>93</v>
      </c>
      <c r="E62" s="4">
        <v>2009</v>
      </c>
      <c r="F62" s="30">
        <v>2.15</v>
      </c>
      <c r="G62" s="4">
        <v>2013</v>
      </c>
      <c r="I62" s="16">
        <f t="shared" si="8"/>
        <v>0.65</v>
      </c>
      <c r="J62" s="16">
        <f t="shared" si="9"/>
        <v>0.65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114</v>
      </c>
      <c r="C63" s="4" t="s">
        <v>38</v>
      </c>
      <c r="D63" s="47" t="s">
        <v>44</v>
      </c>
      <c r="E63" s="13">
        <v>2011</v>
      </c>
      <c r="F63" s="18">
        <v>2.15</v>
      </c>
      <c r="G63" s="4">
        <v>2013</v>
      </c>
      <c r="I63" s="16">
        <f t="shared" si="8"/>
        <v>0.65</v>
      </c>
      <c r="J63" s="16">
        <f t="shared" si="9"/>
        <v>0.65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7" t="s">
        <v>145</v>
      </c>
      <c r="C64" s="4" t="s">
        <v>38</v>
      </c>
      <c r="D64" s="4" t="s">
        <v>45</v>
      </c>
      <c r="E64" s="13">
        <v>2012</v>
      </c>
      <c r="F64" s="18">
        <v>6.6</v>
      </c>
      <c r="G64" s="4">
        <v>2012</v>
      </c>
      <c r="I64" s="16">
        <f t="shared" si="8"/>
        <v>6.6000000000000005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" t="s">
        <v>574</v>
      </c>
      <c r="C65" s="4" t="s">
        <v>18</v>
      </c>
      <c r="D65" s="4" t="s">
        <v>27</v>
      </c>
      <c r="E65" s="13">
        <v>2012</v>
      </c>
      <c r="F65" s="14">
        <v>4.55</v>
      </c>
      <c r="G65" s="1">
        <v>2012</v>
      </c>
      <c r="I65" s="16">
        <f t="shared" si="8"/>
        <v>4.55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7" t="s">
        <v>347</v>
      </c>
      <c r="C66" s="4" t="s">
        <v>38</v>
      </c>
      <c r="D66" s="4" t="s">
        <v>46</v>
      </c>
      <c r="E66" s="13">
        <v>2011</v>
      </c>
      <c r="F66" s="14">
        <v>3.9</v>
      </c>
      <c r="G66" s="1">
        <v>2012</v>
      </c>
      <c r="I66" s="16">
        <f t="shared" si="8"/>
        <v>1.2000000000000002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86</v>
      </c>
      <c r="C67" s="4" t="s">
        <v>26</v>
      </c>
      <c r="D67" s="47" t="s">
        <v>101</v>
      </c>
      <c r="E67" s="4">
        <v>2011</v>
      </c>
      <c r="F67" s="18">
        <v>2.6</v>
      </c>
      <c r="G67" s="4">
        <v>2012</v>
      </c>
      <c r="I67" s="16">
        <f t="shared" si="8"/>
        <v>0.8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3" t="s">
        <v>592</v>
      </c>
      <c r="C68" s="47" t="s">
        <v>41</v>
      </c>
      <c r="D68" s="4" t="s">
        <v>50</v>
      </c>
      <c r="E68" s="13">
        <v>2012</v>
      </c>
      <c r="F68" s="14">
        <v>2.35</v>
      </c>
      <c r="G68" s="1">
        <v>2012</v>
      </c>
      <c r="I68" s="16">
        <f>+CEILING(IF($I$52=E68,F68,IF($I$52&lt;=G68,F68*0.3,0)),0.05)</f>
        <v>2.35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3" t="s">
        <v>345</v>
      </c>
      <c r="C69" s="4" t="s">
        <v>19</v>
      </c>
      <c r="D69" s="4" t="s">
        <v>40</v>
      </c>
      <c r="E69" s="13">
        <v>2010</v>
      </c>
      <c r="F69" s="18">
        <v>2.15</v>
      </c>
      <c r="G69" s="4">
        <v>2012</v>
      </c>
      <c r="I69" s="16">
        <f>+CEILING(IF($I$52=E69,F69,IF($I$52&lt;=G69,F69*0.3,0)),0.05)</f>
        <v>0.65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45" t="s">
        <v>135</v>
      </c>
      <c r="C70" s="4" t="s">
        <v>17</v>
      </c>
      <c r="D70" s="4" t="s">
        <v>681</v>
      </c>
      <c r="E70" s="13">
        <v>2012</v>
      </c>
      <c r="F70" s="14">
        <v>1.45</v>
      </c>
      <c r="G70" s="1">
        <v>2012</v>
      </c>
      <c r="I70" s="16">
        <f>+CEILING(IF($I$52=E70,F70,IF($I$52&lt;=G70,F70*0.3,0)),0.05)</f>
        <v>1.4500000000000002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" t="s">
        <v>392</v>
      </c>
      <c r="C71" s="4" t="s">
        <v>31</v>
      </c>
      <c r="D71" s="4" t="s">
        <v>46</v>
      </c>
      <c r="E71" s="13">
        <v>2010</v>
      </c>
      <c r="F71" s="14">
        <v>1.3</v>
      </c>
      <c r="G71" s="1">
        <v>2012</v>
      </c>
      <c r="I71" s="16">
        <f t="shared" si="8"/>
        <v>0.4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1:13" ht="12.75">
      <c r="A72" s="8">
        <v>19</v>
      </c>
      <c r="B72" s="3" t="s">
        <v>697</v>
      </c>
      <c r="C72" s="4" t="s">
        <v>26</v>
      </c>
      <c r="D72" s="4" t="s">
        <v>48</v>
      </c>
      <c r="E72" s="13">
        <v>2012</v>
      </c>
      <c r="F72" s="9">
        <v>1.3</v>
      </c>
      <c r="G72" s="10">
        <v>2012</v>
      </c>
      <c r="I72" s="16">
        <f aca="true" t="shared" si="13" ref="I72:I78">+CEILING(IF($I$52=E72,F72,IF($I$52&lt;=G72,F72*0.3,0)),0.05)</f>
        <v>1.3</v>
      </c>
      <c r="J72" s="16">
        <f aca="true" t="shared" si="14" ref="J72:J78">+CEILING(IF($J$52&lt;=G72,F72*0.3,0),0.05)</f>
        <v>0</v>
      </c>
      <c r="K72" s="16">
        <f aca="true" t="shared" si="15" ref="K72:K78">+CEILING(IF($K$52&lt;=G72,F72*0.3,0),0.05)</f>
        <v>0</v>
      </c>
      <c r="L72" s="16">
        <f aca="true" t="shared" si="16" ref="L72:L78">+CEILING(IF($L$52&lt;=G72,F72*0.3,0),0.05)</f>
        <v>0</v>
      </c>
      <c r="M72" s="16">
        <f aca="true" t="shared" si="17" ref="M72:M78">CEILING(IF($M$52&lt;=G72,F72*0.3,0),0.05)</f>
        <v>0</v>
      </c>
    </row>
    <row r="73" spans="1:13" ht="12.75">
      <c r="A73" s="8">
        <v>20</v>
      </c>
      <c r="B73" s="3" t="s">
        <v>718</v>
      </c>
      <c r="C73" s="4" t="s">
        <v>26</v>
      </c>
      <c r="D73" s="4" t="s">
        <v>28</v>
      </c>
      <c r="E73" s="13">
        <v>2012</v>
      </c>
      <c r="F73" s="9">
        <v>1.3</v>
      </c>
      <c r="G73" s="10">
        <v>2012</v>
      </c>
      <c r="I73" s="16">
        <f t="shared" si="13"/>
        <v>1.3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45" t="s">
        <v>702</v>
      </c>
      <c r="C74" s="4" t="s">
        <v>19</v>
      </c>
      <c r="D74" s="4" t="s">
        <v>34</v>
      </c>
      <c r="E74" s="13">
        <v>2012</v>
      </c>
      <c r="F74" s="9">
        <v>1.3</v>
      </c>
      <c r="G74" s="10">
        <v>2012</v>
      </c>
      <c r="I74" s="16">
        <f t="shared" si="13"/>
        <v>1.3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3" t="s">
        <v>114</v>
      </c>
      <c r="C75" s="47" t="s">
        <v>38</v>
      </c>
      <c r="D75" s="4" t="s">
        <v>33</v>
      </c>
      <c r="E75" s="13">
        <v>2012</v>
      </c>
      <c r="F75" s="14">
        <v>1.3</v>
      </c>
      <c r="G75" s="1">
        <v>2012</v>
      </c>
      <c r="I75" s="16">
        <f t="shared" si="13"/>
        <v>1.3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1:13" ht="12.75">
      <c r="A76" s="8">
        <v>23</v>
      </c>
      <c r="B76" s="45" t="s">
        <v>690</v>
      </c>
      <c r="C76" s="4" t="s">
        <v>38</v>
      </c>
      <c r="D76" s="4" t="s">
        <v>40</v>
      </c>
      <c r="E76" s="13">
        <v>2012</v>
      </c>
      <c r="F76" s="18">
        <v>1.3</v>
      </c>
      <c r="G76" s="4">
        <v>2012</v>
      </c>
      <c r="I76" s="16">
        <f t="shared" si="13"/>
        <v>1.3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</row>
    <row r="77" spans="1:13" ht="12.75">
      <c r="A77" s="8">
        <v>24</v>
      </c>
      <c r="B77" s="45" t="s">
        <v>753</v>
      </c>
      <c r="C77" s="4" t="s">
        <v>19</v>
      </c>
      <c r="D77" s="4" t="s">
        <v>37</v>
      </c>
      <c r="E77" s="13">
        <v>2012</v>
      </c>
      <c r="F77" s="9">
        <v>1.3</v>
      </c>
      <c r="G77" s="10">
        <v>2012</v>
      </c>
      <c r="I77" s="16">
        <f t="shared" si="13"/>
        <v>1.3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</row>
    <row r="78" spans="1:13" ht="12.75">
      <c r="A78" s="8">
        <v>25</v>
      </c>
      <c r="B78" s="45" t="s">
        <v>756</v>
      </c>
      <c r="C78" s="4" t="s">
        <v>38</v>
      </c>
      <c r="D78" s="4" t="s">
        <v>29</v>
      </c>
      <c r="E78" s="13">
        <v>2012</v>
      </c>
      <c r="F78" s="18">
        <v>1.3</v>
      </c>
      <c r="G78" s="4">
        <v>2012</v>
      </c>
      <c r="I78" s="16">
        <f t="shared" si="13"/>
        <v>1.3</v>
      </c>
      <c r="J78" s="16">
        <f t="shared" si="14"/>
        <v>0</v>
      </c>
      <c r="K78" s="16">
        <f t="shared" si="15"/>
        <v>0</v>
      </c>
      <c r="L78" s="16">
        <f t="shared" si="16"/>
        <v>0</v>
      </c>
      <c r="M78" s="16">
        <f t="shared" si="17"/>
        <v>0</v>
      </c>
    </row>
    <row r="79" spans="1:13" ht="12.75">
      <c r="A79" s="8">
        <v>26</v>
      </c>
      <c r="B79" s="3" t="s">
        <v>788</v>
      </c>
      <c r="C79" s="4" t="s">
        <v>31</v>
      </c>
      <c r="D79" s="47" t="s">
        <v>46</v>
      </c>
      <c r="E79" s="4">
        <v>2012</v>
      </c>
      <c r="F79" s="18">
        <v>1.3</v>
      </c>
      <c r="G79" s="4">
        <v>2012</v>
      </c>
      <c r="I79" s="16">
        <f aca="true" t="shared" si="18" ref="I79:I84">+CEILING(IF($I$52=E79,F79,IF($I$52&lt;=G79,F79*0.3,0)),0.05)</f>
        <v>1.3</v>
      </c>
      <c r="J79" s="16">
        <f aca="true" t="shared" si="19" ref="J79:J84">+CEILING(IF($J$52&lt;=G79,F79*0.3,0),0.05)</f>
        <v>0</v>
      </c>
      <c r="K79" s="16">
        <f aca="true" t="shared" si="20" ref="K79:K84">+CEILING(IF($K$52&lt;=G79,F79*0.3,0),0.05)</f>
        <v>0</v>
      </c>
      <c r="L79" s="16">
        <f aca="true" t="shared" si="21" ref="L79:L84">+CEILING(IF($L$52&lt;=G79,F79*0.3,0),0.05)</f>
        <v>0</v>
      </c>
      <c r="M79" s="16">
        <f aca="true" t="shared" si="22" ref="M79:M84">CEILING(IF($M$52&lt;=G79,F79*0.3,0),0.05)</f>
        <v>0</v>
      </c>
    </row>
    <row r="80" spans="1:13" ht="12.75">
      <c r="A80" s="8">
        <v>27</v>
      </c>
      <c r="B80" s="45" t="s">
        <v>798</v>
      </c>
      <c r="C80" s="4" t="s">
        <v>38</v>
      </c>
      <c r="D80" s="4" t="s">
        <v>24</v>
      </c>
      <c r="E80" s="13">
        <v>2012</v>
      </c>
      <c r="F80" s="14">
        <v>1.3</v>
      </c>
      <c r="G80" s="1">
        <v>2012</v>
      </c>
      <c r="I80" s="16">
        <f t="shared" si="18"/>
        <v>1.3</v>
      </c>
      <c r="J80" s="16">
        <f t="shared" si="19"/>
        <v>0</v>
      </c>
      <c r="K80" s="16">
        <f t="shared" si="20"/>
        <v>0</v>
      </c>
      <c r="L80" s="16">
        <f t="shared" si="21"/>
        <v>0</v>
      </c>
      <c r="M80" s="16">
        <f t="shared" si="22"/>
        <v>0</v>
      </c>
    </row>
    <row r="81" spans="1:13" ht="12.75">
      <c r="A81" s="8">
        <v>28</v>
      </c>
      <c r="B81" s="3" t="s">
        <v>752</v>
      </c>
      <c r="C81" s="4" t="s">
        <v>38</v>
      </c>
      <c r="D81" s="4" t="s">
        <v>33</v>
      </c>
      <c r="E81" s="13">
        <v>2012</v>
      </c>
      <c r="F81" s="9">
        <v>1.3</v>
      </c>
      <c r="G81" s="10">
        <v>2012</v>
      </c>
      <c r="I81" s="16">
        <f t="shared" si="18"/>
        <v>1.3</v>
      </c>
      <c r="J81" s="16">
        <f t="shared" si="19"/>
        <v>0</v>
      </c>
      <c r="K81" s="16">
        <f t="shared" si="20"/>
        <v>0</v>
      </c>
      <c r="L81" s="16">
        <f t="shared" si="21"/>
        <v>0</v>
      </c>
      <c r="M81" s="16">
        <f t="shared" si="22"/>
        <v>0</v>
      </c>
    </row>
    <row r="82" spans="1:13" ht="12.75">
      <c r="A82" s="8">
        <v>29</v>
      </c>
      <c r="B82" s="3" t="s">
        <v>807</v>
      </c>
      <c r="C82" s="4" t="s">
        <v>19</v>
      </c>
      <c r="D82" s="4" t="s">
        <v>22</v>
      </c>
      <c r="E82" s="13">
        <v>2012</v>
      </c>
      <c r="F82" s="9">
        <v>1.3</v>
      </c>
      <c r="G82" s="10">
        <v>2012</v>
      </c>
      <c r="I82" s="16">
        <f t="shared" si="18"/>
        <v>1.3</v>
      </c>
      <c r="J82" s="16">
        <f t="shared" si="19"/>
        <v>0</v>
      </c>
      <c r="K82" s="16">
        <f t="shared" si="20"/>
        <v>0</v>
      </c>
      <c r="L82" s="16">
        <f t="shared" si="21"/>
        <v>0</v>
      </c>
      <c r="M82" s="16">
        <f t="shared" si="22"/>
        <v>0</v>
      </c>
    </row>
    <row r="83" spans="1:13" ht="12.75">
      <c r="A83" s="8">
        <v>30</v>
      </c>
      <c r="B83" s="45" t="s">
        <v>776</v>
      </c>
      <c r="C83" s="4" t="s">
        <v>38</v>
      </c>
      <c r="D83" s="4" t="s">
        <v>22</v>
      </c>
      <c r="E83" s="13">
        <v>2012</v>
      </c>
      <c r="F83" s="18">
        <v>1.3</v>
      </c>
      <c r="G83" s="4">
        <v>2012</v>
      </c>
      <c r="I83" s="16">
        <f t="shared" si="18"/>
        <v>1.3</v>
      </c>
      <c r="J83" s="16">
        <f t="shared" si="19"/>
        <v>0</v>
      </c>
      <c r="K83" s="16">
        <f t="shared" si="20"/>
        <v>0</v>
      </c>
      <c r="L83" s="16">
        <f t="shared" si="21"/>
        <v>0</v>
      </c>
      <c r="M83" s="16">
        <f t="shared" si="22"/>
        <v>0</v>
      </c>
    </row>
    <row r="84" spans="1:13" ht="12.75">
      <c r="A84" s="8">
        <v>31</v>
      </c>
      <c r="B84" s="45" t="s">
        <v>806</v>
      </c>
      <c r="C84" s="4" t="s">
        <v>38</v>
      </c>
      <c r="D84" s="4" t="s">
        <v>57</v>
      </c>
      <c r="E84" s="13">
        <v>2012</v>
      </c>
      <c r="F84" s="14">
        <v>1.3</v>
      </c>
      <c r="G84" s="1">
        <v>2012</v>
      </c>
      <c r="I84" s="16">
        <f t="shared" si="18"/>
        <v>1.3</v>
      </c>
      <c r="J84" s="16">
        <f t="shared" si="19"/>
        <v>0</v>
      </c>
      <c r="K84" s="16">
        <f t="shared" si="20"/>
        <v>0</v>
      </c>
      <c r="L84" s="16">
        <f t="shared" si="21"/>
        <v>0</v>
      </c>
      <c r="M84" s="16">
        <f t="shared" si="22"/>
        <v>0</v>
      </c>
    </row>
    <row r="85" spans="9:13" ht="7.5" customHeight="1">
      <c r="I85" s="16"/>
      <c r="J85" s="16"/>
      <c r="K85" s="16"/>
      <c r="L85" s="16"/>
      <c r="M85" s="16"/>
    </row>
    <row r="86" spans="9:13" ht="12.75">
      <c r="I86" s="17">
        <f>+SUM(I54:I85)</f>
        <v>51.599999999999966</v>
      </c>
      <c r="J86" s="17">
        <f>+SUM(J54:J85)</f>
        <v>11.35</v>
      </c>
      <c r="K86" s="17">
        <f>+SUM(K54:K85)</f>
        <v>6.4</v>
      </c>
      <c r="L86" s="17">
        <f>+SUM(L54:L85)</f>
        <v>0</v>
      </c>
      <c r="M86" s="17">
        <f>+SUM(M54:M85)</f>
        <v>0</v>
      </c>
    </row>
    <row r="87" spans="9:13" ht="12.75">
      <c r="I87" s="12"/>
      <c r="J87" s="12"/>
      <c r="K87" s="12"/>
      <c r="L87" s="12"/>
      <c r="M87" s="12"/>
    </row>
    <row r="88" spans="1:13" ht="16.5" customHeight="1">
      <c r="A88" s="104" t="s">
        <v>52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9:13" ht="7.5" customHeight="1">
      <c r="I89" s="12"/>
      <c r="J89" s="12"/>
      <c r="K89" s="12"/>
      <c r="L89" s="12"/>
      <c r="M89" s="12"/>
    </row>
    <row r="90" spans="1:13" ht="12.75">
      <c r="A90" s="8"/>
      <c r="B90" s="5" t="s">
        <v>55</v>
      </c>
      <c r="C90" s="6"/>
      <c r="D90" s="6"/>
      <c r="E90" s="6"/>
      <c r="F90" s="6" t="s">
        <v>54</v>
      </c>
      <c r="G90" s="6" t="s">
        <v>53</v>
      </c>
      <c r="I90" s="7">
        <f>+I$3</f>
        <v>2012</v>
      </c>
      <c r="J90" s="7">
        <f>+J$3</f>
        <v>2013</v>
      </c>
      <c r="K90" s="7">
        <f>+K$3</f>
        <v>2014</v>
      </c>
      <c r="L90" s="7">
        <f>+L$3</f>
        <v>2015</v>
      </c>
      <c r="M90" s="7">
        <f>+M$3</f>
        <v>2016</v>
      </c>
    </row>
    <row r="91" spans="1:13" ht="7.5" customHeight="1">
      <c r="A91" s="8"/>
      <c r="I91" s="20"/>
      <c r="J91" s="20"/>
      <c r="K91" s="20"/>
      <c r="L91" s="20"/>
      <c r="M91" s="20"/>
    </row>
    <row r="92" spans="1:13" ht="12.75">
      <c r="A92" s="8">
        <v>1</v>
      </c>
      <c r="B92" s="102"/>
      <c r="C92" s="102"/>
      <c r="D92" s="102"/>
      <c r="E92" s="102"/>
      <c r="F92" s="18"/>
      <c r="G92" s="10"/>
      <c r="I92" s="29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ht="12.75">
      <c r="A93" s="8">
        <v>2</v>
      </c>
      <c r="B93" s="102"/>
      <c r="C93" s="102"/>
      <c r="D93" s="102"/>
      <c r="E93" s="102"/>
      <c r="I93" s="20"/>
      <c r="J93" s="20"/>
      <c r="K93" s="20"/>
      <c r="L93" s="20"/>
      <c r="M93" s="20"/>
    </row>
    <row r="94" spans="1:13" ht="7.5" customHeight="1">
      <c r="A94" s="8"/>
      <c r="I94" s="20"/>
      <c r="J94" s="20"/>
      <c r="K94" s="20"/>
      <c r="L94" s="20"/>
      <c r="M94" s="20"/>
    </row>
    <row r="95" spans="1:13" ht="12.75">
      <c r="A95" s="8"/>
      <c r="I95" s="12">
        <f>+SUM(I92:I94)</f>
        <v>0</v>
      </c>
      <c r="J95" s="12">
        <f>+SUM(J92:J94)</f>
        <v>0</v>
      </c>
      <c r="K95" s="12">
        <f>+SUM(K92:K94)</f>
        <v>0</v>
      </c>
      <c r="L95" s="12">
        <f>+SUM(L92:L94)</f>
        <v>0</v>
      </c>
      <c r="M95" s="12">
        <f>+SUM(M92:M94)</f>
        <v>0</v>
      </c>
    </row>
    <row r="96" spans="9:13" ht="12.75">
      <c r="I96" s="11"/>
      <c r="J96" s="11"/>
      <c r="K96" s="11"/>
      <c r="L96" s="11"/>
      <c r="M96" s="11"/>
    </row>
  </sheetData>
  <sheetProtection/>
  <mergeCells count="6">
    <mergeCell ref="B92:E92"/>
    <mergeCell ref="B93:E93"/>
    <mergeCell ref="A1:M1"/>
    <mergeCell ref="A50:M50"/>
    <mergeCell ref="A88:M88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2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6" t="s">
        <v>556</v>
      </c>
      <c r="C5" s="4" t="s">
        <v>18</v>
      </c>
      <c r="D5" s="4" t="s">
        <v>47</v>
      </c>
      <c r="E5" s="13" t="s">
        <v>49</v>
      </c>
      <c r="F5" s="14">
        <v>14</v>
      </c>
      <c r="G5" s="1">
        <v>2016</v>
      </c>
      <c r="I5" s="16">
        <f aca="true" t="shared" si="0" ref="I5:M14">+IF($G5&gt;=I$3,$F5,0)</f>
        <v>14</v>
      </c>
      <c r="J5" s="16">
        <f t="shared" si="0"/>
        <v>14</v>
      </c>
      <c r="K5" s="16">
        <f t="shared" si="0"/>
        <v>14</v>
      </c>
      <c r="L5" s="16">
        <f t="shared" si="0"/>
        <v>14</v>
      </c>
      <c r="M5" s="16">
        <f t="shared" si="0"/>
        <v>14</v>
      </c>
    </row>
    <row r="6" spans="1:13" ht="12.75">
      <c r="A6" s="8">
        <v>2</v>
      </c>
      <c r="B6" s="26" t="s">
        <v>642</v>
      </c>
      <c r="C6" s="4" t="s">
        <v>19</v>
      </c>
      <c r="D6" s="4" t="s">
        <v>16</v>
      </c>
      <c r="E6" s="13" t="s">
        <v>49</v>
      </c>
      <c r="F6" s="14">
        <v>1.3</v>
      </c>
      <c r="G6" s="1">
        <v>2016</v>
      </c>
      <c r="I6" s="16">
        <f t="shared" si="0"/>
        <v>1.3</v>
      </c>
      <c r="J6" s="16">
        <f t="shared" si="0"/>
        <v>1.3</v>
      </c>
      <c r="K6" s="16">
        <f t="shared" si="0"/>
        <v>1.3</v>
      </c>
      <c r="L6" s="16">
        <f t="shared" si="0"/>
        <v>1.3</v>
      </c>
      <c r="M6" s="16">
        <f t="shared" si="0"/>
        <v>1.3</v>
      </c>
    </row>
    <row r="7" spans="1:13" ht="12.75">
      <c r="A7" s="8">
        <v>3</v>
      </c>
      <c r="B7" s="26" t="s">
        <v>435</v>
      </c>
      <c r="C7" s="4" t="s">
        <v>26</v>
      </c>
      <c r="D7" s="4" t="s">
        <v>40</v>
      </c>
      <c r="E7" s="13" t="s">
        <v>49</v>
      </c>
      <c r="F7" s="14">
        <v>17.55</v>
      </c>
      <c r="G7" s="1">
        <v>2015</v>
      </c>
      <c r="I7" s="16">
        <f t="shared" si="0"/>
        <v>17.55</v>
      </c>
      <c r="J7" s="16">
        <f t="shared" si="0"/>
        <v>17.55</v>
      </c>
      <c r="K7" s="16">
        <f t="shared" si="0"/>
        <v>17.55</v>
      </c>
      <c r="L7" s="16">
        <f t="shared" si="0"/>
        <v>17.55</v>
      </c>
      <c r="M7" s="16">
        <f t="shared" si="0"/>
        <v>0</v>
      </c>
    </row>
    <row r="8" spans="1:13" ht="12.75">
      <c r="A8" s="8">
        <v>4</v>
      </c>
      <c r="B8" s="26" t="s">
        <v>477</v>
      </c>
      <c r="C8" s="47" t="s">
        <v>17</v>
      </c>
      <c r="D8" s="47" t="s">
        <v>25</v>
      </c>
      <c r="E8" s="13" t="s">
        <v>49</v>
      </c>
      <c r="F8" s="14">
        <v>3.85</v>
      </c>
      <c r="G8" s="1">
        <v>2015</v>
      </c>
      <c r="I8" s="16">
        <f t="shared" si="0"/>
        <v>3.85</v>
      </c>
      <c r="J8" s="16">
        <f t="shared" si="0"/>
        <v>3.85</v>
      </c>
      <c r="K8" s="16">
        <f t="shared" si="0"/>
        <v>3.85</v>
      </c>
      <c r="L8" s="16">
        <f t="shared" si="0"/>
        <v>3.85</v>
      </c>
      <c r="M8" s="16">
        <f t="shared" si="0"/>
        <v>0</v>
      </c>
    </row>
    <row r="9" spans="1:13" ht="12.75">
      <c r="A9" s="8">
        <v>5</v>
      </c>
      <c r="B9" s="21" t="s">
        <v>320</v>
      </c>
      <c r="C9" s="4" t="s">
        <v>19</v>
      </c>
      <c r="D9" s="4" t="s">
        <v>21</v>
      </c>
      <c r="E9" s="13" t="s">
        <v>49</v>
      </c>
      <c r="F9" s="14">
        <v>10.15</v>
      </c>
      <c r="G9" s="1">
        <v>2014</v>
      </c>
      <c r="I9" s="16">
        <f t="shared" si="0"/>
        <v>10.15</v>
      </c>
      <c r="J9" s="16">
        <f t="shared" si="0"/>
        <v>10.15</v>
      </c>
      <c r="K9" s="16">
        <f t="shared" si="0"/>
        <v>10.15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6" t="s">
        <v>557</v>
      </c>
      <c r="C10" s="4" t="s">
        <v>38</v>
      </c>
      <c r="D10" s="4" t="s">
        <v>16</v>
      </c>
      <c r="E10" s="13" t="s">
        <v>49</v>
      </c>
      <c r="F10" s="14">
        <v>7.8</v>
      </c>
      <c r="G10" s="1">
        <v>2014</v>
      </c>
      <c r="I10" s="16">
        <f t="shared" si="0"/>
        <v>7.8</v>
      </c>
      <c r="J10" s="16">
        <f t="shared" si="0"/>
        <v>7.8</v>
      </c>
      <c r="K10" s="16">
        <f t="shared" si="0"/>
        <v>7.8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102</v>
      </c>
      <c r="C11" s="4" t="s">
        <v>17</v>
      </c>
      <c r="D11" s="4" t="s">
        <v>28</v>
      </c>
      <c r="E11" s="13" t="s">
        <v>49</v>
      </c>
      <c r="F11" s="14">
        <v>5.5</v>
      </c>
      <c r="G11" s="1">
        <v>2014</v>
      </c>
      <c r="I11" s="16">
        <f t="shared" si="0"/>
        <v>5.5</v>
      </c>
      <c r="J11" s="16">
        <f t="shared" si="0"/>
        <v>5.5</v>
      </c>
      <c r="K11" s="16">
        <f t="shared" si="0"/>
        <v>5.5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6" t="s">
        <v>256</v>
      </c>
      <c r="C12" s="4" t="s">
        <v>18</v>
      </c>
      <c r="D12" s="47" t="s">
        <v>32</v>
      </c>
      <c r="E12" s="13" t="s">
        <v>49</v>
      </c>
      <c r="F12" s="16">
        <v>4.7</v>
      </c>
      <c r="G12" s="13">
        <v>2014</v>
      </c>
      <c r="I12" s="16">
        <f t="shared" si="0"/>
        <v>4.7</v>
      </c>
      <c r="J12" s="16">
        <f t="shared" si="0"/>
        <v>4.7</v>
      </c>
      <c r="K12" s="16">
        <f t="shared" si="0"/>
        <v>4.7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15" t="s">
        <v>640</v>
      </c>
      <c r="C13" s="4" t="s">
        <v>17</v>
      </c>
      <c r="D13" s="4" t="s">
        <v>46</v>
      </c>
      <c r="E13" s="13" t="s">
        <v>49</v>
      </c>
      <c r="F13" s="16">
        <v>4.55</v>
      </c>
      <c r="G13" s="13">
        <v>2014</v>
      </c>
      <c r="I13" s="16">
        <f t="shared" si="0"/>
        <v>4.55</v>
      </c>
      <c r="J13" s="16">
        <f t="shared" si="0"/>
        <v>4.55</v>
      </c>
      <c r="K13" s="16">
        <f t="shared" si="0"/>
        <v>4.55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6" t="s">
        <v>625</v>
      </c>
      <c r="C14" s="4" t="s">
        <v>38</v>
      </c>
      <c r="D14" s="47" t="s">
        <v>21</v>
      </c>
      <c r="E14" s="13" t="s">
        <v>49</v>
      </c>
      <c r="F14" s="14">
        <v>4.35</v>
      </c>
      <c r="G14" s="1">
        <v>2014</v>
      </c>
      <c r="I14" s="16">
        <f t="shared" si="0"/>
        <v>4.35</v>
      </c>
      <c r="J14" s="16">
        <f t="shared" si="0"/>
        <v>4.35</v>
      </c>
      <c r="K14" s="16">
        <f t="shared" si="0"/>
        <v>4.35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404</v>
      </c>
      <c r="C15" s="4" t="s">
        <v>15</v>
      </c>
      <c r="D15" s="4" t="s">
        <v>43</v>
      </c>
      <c r="E15" s="13" t="s">
        <v>49</v>
      </c>
      <c r="F15" s="14">
        <v>1.1</v>
      </c>
      <c r="G15" s="1">
        <v>2014</v>
      </c>
      <c r="I15" s="16">
        <f aca="true" t="shared" si="1" ref="I15:M24">+IF($G15&gt;=I$3,$F15,0)</f>
        <v>1.1</v>
      </c>
      <c r="J15" s="16">
        <f t="shared" si="1"/>
        <v>1.1</v>
      </c>
      <c r="K15" s="16">
        <f t="shared" si="1"/>
        <v>1.1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6" t="s">
        <v>590</v>
      </c>
      <c r="C16" s="4" t="s">
        <v>19</v>
      </c>
      <c r="D16" s="47" t="s">
        <v>101</v>
      </c>
      <c r="E16" s="13" t="s">
        <v>49</v>
      </c>
      <c r="F16" s="14">
        <v>4.25</v>
      </c>
      <c r="G16" s="1">
        <v>2013</v>
      </c>
      <c r="I16" s="16">
        <f t="shared" si="1"/>
        <v>4.25</v>
      </c>
      <c r="J16" s="16">
        <f t="shared" si="1"/>
        <v>4.25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6" t="s">
        <v>558</v>
      </c>
      <c r="C17" s="4" t="s">
        <v>17</v>
      </c>
      <c r="D17" s="47" t="s">
        <v>50</v>
      </c>
      <c r="E17" s="13" t="s">
        <v>49</v>
      </c>
      <c r="F17" s="14">
        <v>7.25</v>
      </c>
      <c r="G17" s="1">
        <v>2012</v>
      </c>
      <c r="I17" s="16">
        <f t="shared" si="1"/>
        <v>7.25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319</v>
      </c>
      <c r="C18" s="4" t="s">
        <v>38</v>
      </c>
      <c r="D18" s="47" t="s">
        <v>46</v>
      </c>
      <c r="E18" s="13" t="s">
        <v>49</v>
      </c>
      <c r="F18" s="14">
        <v>5.35</v>
      </c>
      <c r="G18" s="1">
        <v>2012</v>
      </c>
      <c r="I18" s="16">
        <f t="shared" si="1"/>
        <v>5.35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658</v>
      </c>
      <c r="C19" s="4" t="s">
        <v>41</v>
      </c>
      <c r="D19" s="4" t="s">
        <v>16</v>
      </c>
      <c r="E19" s="13" t="s">
        <v>49</v>
      </c>
      <c r="F19" s="14">
        <v>5.3</v>
      </c>
      <c r="G19" s="1">
        <v>2012</v>
      </c>
      <c r="I19" s="16">
        <f t="shared" si="1"/>
        <v>5.3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1" t="s">
        <v>148</v>
      </c>
      <c r="C20" s="47" t="s">
        <v>17</v>
      </c>
      <c r="D20" s="4" t="s">
        <v>34</v>
      </c>
      <c r="E20" s="13" t="s">
        <v>49</v>
      </c>
      <c r="F20" s="14">
        <v>4.65</v>
      </c>
      <c r="G20" s="1">
        <v>2012</v>
      </c>
      <c r="I20" s="16">
        <f t="shared" si="1"/>
        <v>4.65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6" t="s">
        <v>594</v>
      </c>
      <c r="C21" s="4" t="s">
        <v>19</v>
      </c>
      <c r="D21" s="47" t="s">
        <v>22</v>
      </c>
      <c r="E21" s="13" t="s">
        <v>49</v>
      </c>
      <c r="F21" s="14">
        <v>2.5</v>
      </c>
      <c r="G21" s="1">
        <v>2012</v>
      </c>
      <c r="I21" s="16">
        <f t="shared" si="1"/>
        <v>2.5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6" t="s">
        <v>585</v>
      </c>
      <c r="C22" s="4" t="s">
        <v>19</v>
      </c>
      <c r="D22" s="4" t="s">
        <v>116</v>
      </c>
      <c r="E22" s="13" t="s">
        <v>49</v>
      </c>
      <c r="F22" s="14">
        <v>1.9</v>
      </c>
      <c r="G22" s="1">
        <v>2012</v>
      </c>
      <c r="I22" s="16">
        <f t="shared" si="1"/>
        <v>1.9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6" t="s">
        <v>111</v>
      </c>
      <c r="C23" s="4" t="s">
        <v>31</v>
      </c>
      <c r="D23" s="47" t="s">
        <v>40</v>
      </c>
      <c r="E23" s="13" t="s">
        <v>49</v>
      </c>
      <c r="F23" s="14">
        <v>1.85</v>
      </c>
      <c r="G23" s="1">
        <v>2012</v>
      </c>
      <c r="I23" s="16">
        <f t="shared" si="1"/>
        <v>1.85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515</v>
      </c>
      <c r="C24" s="4" t="s">
        <v>17</v>
      </c>
      <c r="D24" s="47" t="s">
        <v>16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6" t="s">
        <v>598</v>
      </c>
      <c r="C25" s="4" t="s">
        <v>19</v>
      </c>
      <c r="D25" s="49" t="s">
        <v>94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6" t="s">
        <v>634</v>
      </c>
      <c r="C26" s="4" t="s">
        <v>19</v>
      </c>
      <c r="D26" s="4" t="s">
        <v>47</v>
      </c>
      <c r="E26" s="13" t="s">
        <v>49</v>
      </c>
      <c r="F26" s="14">
        <v>1.3</v>
      </c>
      <c r="G26" s="2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6" t="s">
        <v>233</v>
      </c>
      <c r="C27" s="4" t="s">
        <v>17</v>
      </c>
      <c r="D27" s="4" t="s">
        <v>37</v>
      </c>
      <c r="E27" s="13" t="s">
        <v>49</v>
      </c>
      <c r="F27" s="14">
        <v>1.3</v>
      </c>
      <c r="G27" s="2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6" t="s">
        <v>650</v>
      </c>
      <c r="C28" s="4" t="s">
        <v>15</v>
      </c>
      <c r="D28" s="4" t="s">
        <v>40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6" t="s">
        <v>656</v>
      </c>
      <c r="C29" s="4" t="s">
        <v>17</v>
      </c>
      <c r="D29" s="4" t="s">
        <v>24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6" t="s">
        <v>721</v>
      </c>
      <c r="C30" s="4" t="s">
        <v>15</v>
      </c>
      <c r="D30" s="4" t="s">
        <v>20</v>
      </c>
      <c r="E30" s="13" t="s">
        <v>49</v>
      </c>
      <c r="F30" s="14">
        <v>1.3</v>
      </c>
      <c r="G30" s="1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6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6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116.99999999999996</v>
      </c>
      <c r="J34" s="17">
        <f>+SUM(J5:J32)</f>
        <v>79.09999999999998</v>
      </c>
      <c r="K34" s="17">
        <f>+SUM(K5:K32)</f>
        <v>74.84999999999998</v>
      </c>
      <c r="L34" s="17">
        <f>+SUM(L5:L32)</f>
        <v>36.7</v>
      </c>
      <c r="M34" s="17">
        <f>+SUM(M5:M32)</f>
        <v>15.3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5" t="s">
        <v>559</v>
      </c>
      <c r="C40" s="4" t="s">
        <v>17</v>
      </c>
      <c r="D40" s="4" t="s">
        <v>22</v>
      </c>
      <c r="E40" s="13" t="s">
        <v>81</v>
      </c>
      <c r="F40" s="14">
        <v>8.1</v>
      </c>
      <c r="G40" s="1">
        <v>2016</v>
      </c>
      <c r="I40" s="16">
        <f aca="true" t="shared" si="3" ref="I40:I45">+CEILING(IF($I$38&lt;=G40,F40*0.3,0),0.05)</f>
        <v>2.45</v>
      </c>
      <c r="J40" s="16">
        <f aca="true" t="shared" si="4" ref="J40:J45">+CEILING(IF($J$38&lt;=G40,F40*0.3,0),0.05)</f>
        <v>2.45</v>
      </c>
      <c r="K40" s="16">
        <f aca="true" t="shared" si="5" ref="K40:K45">+CEILING(IF($K$38&lt;=G40,F40*0.3,0),0.05)</f>
        <v>2.45</v>
      </c>
      <c r="L40" s="16">
        <f aca="true" t="shared" si="6" ref="L40:L45">+CEILING(IF($L$38&lt;=G40,F40*0.3,0),0.05)</f>
        <v>2.45</v>
      </c>
      <c r="M40" s="16">
        <f aca="true" t="shared" si="7" ref="M40:M45">+CEILING(IF($M$38&lt;=G40,F40*0.3,0),0.05)</f>
        <v>2.45</v>
      </c>
    </row>
    <row r="41" spans="1:13" ht="12.75">
      <c r="A41" s="8">
        <v>2</v>
      </c>
      <c r="B41" s="26" t="s">
        <v>683</v>
      </c>
      <c r="C41" s="4" t="s">
        <v>41</v>
      </c>
      <c r="D41" s="47" t="s">
        <v>45</v>
      </c>
      <c r="E41" s="13" t="s">
        <v>81</v>
      </c>
      <c r="F41" s="14">
        <v>1.3</v>
      </c>
      <c r="G41" s="1">
        <v>2016</v>
      </c>
      <c r="I41" s="16">
        <f t="shared" si="3"/>
        <v>0.4</v>
      </c>
      <c r="J41" s="16">
        <f t="shared" si="4"/>
        <v>0.4</v>
      </c>
      <c r="K41" s="16">
        <f t="shared" si="5"/>
        <v>0.4</v>
      </c>
      <c r="L41" s="16">
        <f t="shared" si="6"/>
        <v>0.4</v>
      </c>
      <c r="M41" s="16">
        <f t="shared" si="7"/>
        <v>0.4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2.85</v>
      </c>
      <c r="J47" s="12">
        <f>+SUM(J40:J46)</f>
        <v>2.85</v>
      </c>
      <c r="K47" s="12">
        <f>+SUM(K40:K46)</f>
        <v>2.85</v>
      </c>
      <c r="L47" s="12">
        <f>+SUM(L40:L46)</f>
        <v>2.85</v>
      </c>
      <c r="M47" s="12">
        <f>+SUM(M40:M46)</f>
        <v>2.85</v>
      </c>
    </row>
    <row r="49" spans="1:13" ht="15.75">
      <c r="A49" s="104" t="s">
        <v>51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ht="7.5" customHeight="1"/>
    <row r="51" spans="2:13" ht="12.75">
      <c r="B51" s="5" t="s">
        <v>1</v>
      </c>
      <c r="C51" s="6" t="s">
        <v>13</v>
      </c>
      <c r="D51" s="6" t="s">
        <v>4</v>
      </c>
      <c r="E51" s="6" t="s">
        <v>6</v>
      </c>
      <c r="F51" s="6" t="s">
        <v>3</v>
      </c>
      <c r="G51" s="6" t="s">
        <v>14</v>
      </c>
      <c r="I51" s="7">
        <f>+I$3</f>
        <v>2012</v>
      </c>
      <c r="J51" s="7">
        <f>+J$3</f>
        <v>2013</v>
      </c>
      <c r="K51" s="7">
        <f>+K$3</f>
        <v>2014</v>
      </c>
      <c r="L51" s="7">
        <f>+L$3</f>
        <v>2015</v>
      </c>
      <c r="M51" s="7">
        <f>+M$3</f>
        <v>2016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6" t="s">
        <v>217</v>
      </c>
      <c r="C53" s="4" t="s">
        <v>26</v>
      </c>
      <c r="D53" s="4" t="s">
        <v>43</v>
      </c>
      <c r="E53" s="13">
        <v>2010</v>
      </c>
      <c r="F53" s="14">
        <v>5.15</v>
      </c>
      <c r="G53" s="1">
        <v>2013</v>
      </c>
      <c r="I53" s="16">
        <f aca="true" t="shared" si="8" ref="I53:I58">+CEILING(IF($I$51=E53,F53,IF($I$51&lt;=G53,F53*0.3,0)),0.05)</f>
        <v>1.55</v>
      </c>
      <c r="J53" s="16">
        <f aca="true" t="shared" si="9" ref="J53:J58">+CEILING(IF($J$51&lt;=G53,F53*0.3,0),0.05)</f>
        <v>1.55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26" t="s">
        <v>142</v>
      </c>
      <c r="C54" s="4" t="s">
        <v>38</v>
      </c>
      <c r="D54" s="4" t="s">
        <v>32</v>
      </c>
      <c r="E54" s="13">
        <v>2010</v>
      </c>
      <c r="F54" s="14">
        <v>1</v>
      </c>
      <c r="G54" s="1">
        <v>2012</v>
      </c>
      <c r="I54" s="16">
        <f t="shared" si="8"/>
        <v>0.30000000000000004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6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6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1.85</v>
      </c>
      <c r="J64" s="17">
        <f>+SUM(J53:J63)</f>
        <v>1.55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104" t="s">
        <v>52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55</v>
      </c>
      <c r="C68" s="6"/>
      <c r="D68" s="6"/>
      <c r="E68" s="6"/>
      <c r="F68" s="6" t="s">
        <v>54</v>
      </c>
      <c r="G68" s="6" t="s">
        <v>53</v>
      </c>
      <c r="I68" s="7">
        <f>+I$3</f>
        <v>2012</v>
      </c>
      <c r="J68" s="7">
        <f>+J$3</f>
        <v>2013</v>
      </c>
      <c r="K68" s="7">
        <f>+K$3</f>
        <v>2014</v>
      </c>
      <c r="L68" s="7">
        <f>+L$3</f>
        <v>2015</v>
      </c>
      <c r="M68" s="7">
        <f>+M$3</f>
        <v>2016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102"/>
      <c r="C70" s="102"/>
      <c r="D70" s="102"/>
      <c r="E70" s="102"/>
      <c r="F70" s="14"/>
      <c r="G70" s="1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102"/>
      <c r="C71" s="102"/>
      <c r="D71" s="102"/>
      <c r="E71" s="102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2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5" t="s">
        <v>601</v>
      </c>
      <c r="C5" s="4" t="s">
        <v>18</v>
      </c>
      <c r="D5" s="4" t="s">
        <v>40</v>
      </c>
      <c r="E5" s="13" t="s">
        <v>49</v>
      </c>
      <c r="F5" s="14">
        <v>1.3</v>
      </c>
      <c r="G5" s="1">
        <v>2016</v>
      </c>
      <c r="I5" s="16">
        <f aca="true" t="shared" si="0" ref="I5:M14">+IF($G5&gt;=I$3,$F5,0)</f>
        <v>1.3</v>
      </c>
      <c r="J5" s="16">
        <f t="shared" si="0"/>
        <v>1.3</v>
      </c>
      <c r="K5" s="16">
        <f t="shared" si="0"/>
        <v>1.3</v>
      </c>
      <c r="L5" s="16">
        <f t="shared" si="0"/>
        <v>1.3</v>
      </c>
      <c r="M5" s="16">
        <f t="shared" si="0"/>
        <v>1.3</v>
      </c>
    </row>
    <row r="6" spans="1:13" ht="12.75">
      <c r="A6" s="8">
        <v>2</v>
      </c>
      <c r="B6" s="41" t="s">
        <v>623</v>
      </c>
      <c r="C6" s="4" t="s">
        <v>18</v>
      </c>
      <c r="D6" s="49" t="s">
        <v>28</v>
      </c>
      <c r="E6" s="13" t="s">
        <v>49</v>
      </c>
      <c r="F6" s="14">
        <v>1.3</v>
      </c>
      <c r="G6" s="1">
        <v>2016</v>
      </c>
      <c r="I6" s="16">
        <f t="shared" si="0"/>
        <v>1.3</v>
      </c>
      <c r="J6" s="16">
        <f t="shared" si="0"/>
        <v>1.3</v>
      </c>
      <c r="K6" s="16">
        <f t="shared" si="0"/>
        <v>1.3</v>
      </c>
      <c r="L6" s="16">
        <f t="shared" si="0"/>
        <v>1.3</v>
      </c>
      <c r="M6" s="16">
        <f t="shared" si="0"/>
        <v>1.3</v>
      </c>
    </row>
    <row r="7" spans="1:13" ht="12.75">
      <c r="A7" s="8">
        <v>3</v>
      </c>
      <c r="B7" s="3" t="s">
        <v>654</v>
      </c>
      <c r="C7" s="4" t="s">
        <v>19</v>
      </c>
      <c r="D7" s="4" t="s">
        <v>27</v>
      </c>
      <c r="E7" s="13" t="s">
        <v>49</v>
      </c>
      <c r="F7" s="14">
        <v>1.3</v>
      </c>
      <c r="G7" s="1">
        <v>2016</v>
      </c>
      <c r="I7" s="16">
        <f t="shared" si="0"/>
        <v>1.3</v>
      </c>
      <c r="J7" s="16">
        <f t="shared" si="0"/>
        <v>1.3</v>
      </c>
      <c r="K7" s="16">
        <f t="shared" si="0"/>
        <v>1.3</v>
      </c>
      <c r="L7" s="16">
        <f t="shared" si="0"/>
        <v>1.3</v>
      </c>
      <c r="M7" s="16">
        <f t="shared" si="0"/>
        <v>1.3</v>
      </c>
    </row>
    <row r="8" spans="1:13" ht="12.75">
      <c r="A8" s="8">
        <v>4</v>
      </c>
      <c r="B8" s="34" t="s">
        <v>536</v>
      </c>
      <c r="C8" s="4" t="s">
        <v>17</v>
      </c>
      <c r="D8" s="4" t="s">
        <v>39</v>
      </c>
      <c r="E8" s="13" t="s">
        <v>49</v>
      </c>
      <c r="F8" s="14">
        <v>16.1</v>
      </c>
      <c r="G8" s="2">
        <v>2015</v>
      </c>
      <c r="I8" s="16">
        <f t="shared" si="0"/>
        <v>16.1</v>
      </c>
      <c r="J8" s="16">
        <f t="shared" si="0"/>
        <v>16.1</v>
      </c>
      <c r="K8" s="16">
        <f t="shared" si="0"/>
        <v>16.1</v>
      </c>
      <c r="L8" s="16">
        <f t="shared" si="0"/>
        <v>16.1</v>
      </c>
      <c r="M8" s="16">
        <f t="shared" si="0"/>
        <v>0</v>
      </c>
    </row>
    <row r="9" spans="1:13" ht="12.75">
      <c r="A9" s="8">
        <v>5</v>
      </c>
      <c r="B9" s="45" t="s">
        <v>448</v>
      </c>
      <c r="C9" s="4" t="s">
        <v>38</v>
      </c>
      <c r="D9" s="4" t="s">
        <v>27</v>
      </c>
      <c r="E9" s="13" t="s">
        <v>49</v>
      </c>
      <c r="F9" s="16">
        <v>6.65</v>
      </c>
      <c r="G9" s="13">
        <v>2015</v>
      </c>
      <c r="I9" s="16">
        <f t="shared" si="0"/>
        <v>6.65</v>
      </c>
      <c r="J9" s="16">
        <f t="shared" si="0"/>
        <v>6.65</v>
      </c>
      <c r="K9" s="16">
        <f t="shared" si="0"/>
        <v>6.65</v>
      </c>
      <c r="L9" s="16">
        <f t="shared" si="0"/>
        <v>6.65</v>
      </c>
      <c r="M9" s="16">
        <f t="shared" si="0"/>
        <v>0</v>
      </c>
    </row>
    <row r="10" spans="1:13" ht="12.75">
      <c r="A10" s="8">
        <v>6</v>
      </c>
      <c r="B10" s="45" t="s">
        <v>441</v>
      </c>
      <c r="C10" s="47" t="s">
        <v>17</v>
      </c>
      <c r="D10" s="47" t="s">
        <v>32</v>
      </c>
      <c r="E10" s="13" t="s">
        <v>49</v>
      </c>
      <c r="F10" s="14">
        <v>3.35</v>
      </c>
      <c r="G10" s="1">
        <v>2015</v>
      </c>
      <c r="I10" s="16">
        <f t="shared" si="0"/>
        <v>3.35</v>
      </c>
      <c r="J10" s="16">
        <f t="shared" si="0"/>
        <v>3.35</v>
      </c>
      <c r="K10" s="16">
        <f t="shared" si="0"/>
        <v>3.35</v>
      </c>
      <c r="L10" s="16">
        <f t="shared" si="0"/>
        <v>3.35</v>
      </c>
      <c r="M10" s="16">
        <f t="shared" si="0"/>
        <v>0</v>
      </c>
    </row>
    <row r="11" spans="1:13" ht="12.75">
      <c r="A11" s="8">
        <v>7</v>
      </c>
      <c r="B11" s="3" t="s">
        <v>504</v>
      </c>
      <c r="C11" s="4" t="s">
        <v>19</v>
      </c>
      <c r="D11" s="4" t="s">
        <v>24</v>
      </c>
      <c r="E11" s="13" t="s">
        <v>49</v>
      </c>
      <c r="F11" s="9">
        <v>1.6</v>
      </c>
      <c r="G11" s="10">
        <v>2015</v>
      </c>
      <c r="I11" s="16">
        <f t="shared" si="0"/>
        <v>1.6</v>
      </c>
      <c r="J11" s="16">
        <f t="shared" si="0"/>
        <v>1.6</v>
      </c>
      <c r="K11" s="16">
        <f t="shared" si="0"/>
        <v>1.6</v>
      </c>
      <c r="L11" s="16">
        <f t="shared" si="0"/>
        <v>1.6</v>
      </c>
      <c r="M11" s="16">
        <f t="shared" si="0"/>
        <v>0</v>
      </c>
    </row>
    <row r="12" spans="1:13" ht="12.75">
      <c r="A12" s="8">
        <v>8</v>
      </c>
      <c r="B12" s="21" t="s">
        <v>331</v>
      </c>
      <c r="C12" s="4" t="s">
        <v>31</v>
      </c>
      <c r="D12" s="4" t="s">
        <v>37</v>
      </c>
      <c r="E12" s="13" t="s">
        <v>49</v>
      </c>
      <c r="F12" s="14">
        <v>6.55</v>
      </c>
      <c r="G12" s="1">
        <v>2014</v>
      </c>
      <c r="I12" s="16">
        <f t="shared" si="0"/>
        <v>6.55</v>
      </c>
      <c r="J12" s="16">
        <f t="shared" si="0"/>
        <v>6.55</v>
      </c>
      <c r="K12" s="16">
        <f t="shared" si="0"/>
        <v>6.55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332</v>
      </c>
      <c r="C13" s="4" t="s">
        <v>26</v>
      </c>
      <c r="D13" s="4" t="s">
        <v>37</v>
      </c>
      <c r="E13" s="13" t="s">
        <v>49</v>
      </c>
      <c r="F13" s="14">
        <v>4.75</v>
      </c>
      <c r="G13" s="1">
        <v>2014</v>
      </c>
      <c r="I13" s="16">
        <f t="shared" si="0"/>
        <v>4.75</v>
      </c>
      <c r="J13" s="16">
        <f t="shared" si="0"/>
        <v>4.75</v>
      </c>
      <c r="K13" s="16">
        <f t="shared" si="0"/>
        <v>4.75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45" t="s">
        <v>611</v>
      </c>
      <c r="C14" s="4" t="s">
        <v>41</v>
      </c>
      <c r="D14" s="47" t="s">
        <v>37</v>
      </c>
      <c r="E14" s="13" t="s">
        <v>49</v>
      </c>
      <c r="F14" s="14">
        <v>4.55</v>
      </c>
      <c r="G14" s="1">
        <v>2014</v>
      </c>
      <c r="I14" s="16">
        <f t="shared" si="0"/>
        <v>4.55</v>
      </c>
      <c r="J14" s="16">
        <f t="shared" si="0"/>
        <v>4.55</v>
      </c>
      <c r="K14" s="16">
        <f t="shared" si="0"/>
        <v>4.55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295</v>
      </c>
      <c r="C15" s="4" t="s">
        <v>41</v>
      </c>
      <c r="D15" s="4" t="s">
        <v>56</v>
      </c>
      <c r="E15" s="13" t="s">
        <v>49</v>
      </c>
      <c r="F15" s="14">
        <v>4.15</v>
      </c>
      <c r="G15" s="1">
        <v>2014</v>
      </c>
      <c r="I15" s="16">
        <f aca="true" t="shared" si="1" ref="I15:M24">+IF($G15&gt;=I$3,$F15,0)</f>
        <v>4.15</v>
      </c>
      <c r="J15" s="16">
        <f t="shared" si="1"/>
        <v>4.15</v>
      </c>
      <c r="K15" s="16">
        <f t="shared" si="1"/>
        <v>4.15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321</v>
      </c>
      <c r="C16" s="4" t="s">
        <v>38</v>
      </c>
      <c r="D16" s="47" t="s">
        <v>101</v>
      </c>
      <c r="E16" s="13" t="s">
        <v>49</v>
      </c>
      <c r="F16" s="16">
        <v>3.8</v>
      </c>
      <c r="G16" s="1">
        <v>2014</v>
      </c>
      <c r="I16" s="16">
        <f t="shared" si="1"/>
        <v>3.8</v>
      </c>
      <c r="J16" s="16">
        <f t="shared" si="1"/>
        <v>3.8</v>
      </c>
      <c r="K16" s="16">
        <f t="shared" si="1"/>
        <v>3.8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358</v>
      </c>
      <c r="C17" s="4" t="s">
        <v>15</v>
      </c>
      <c r="D17" s="47" t="s">
        <v>34</v>
      </c>
      <c r="E17" s="13" t="s">
        <v>49</v>
      </c>
      <c r="F17" s="14">
        <v>1.3</v>
      </c>
      <c r="G17" s="1">
        <v>2014</v>
      </c>
      <c r="I17" s="16">
        <f t="shared" si="1"/>
        <v>1.3</v>
      </c>
      <c r="J17" s="16">
        <f t="shared" si="1"/>
        <v>1.3</v>
      </c>
      <c r="K17" s="16">
        <f t="shared" si="1"/>
        <v>1.3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359</v>
      </c>
      <c r="C18" s="4" t="s">
        <v>19</v>
      </c>
      <c r="D18" s="4" t="s">
        <v>93</v>
      </c>
      <c r="E18" s="13" t="s">
        <v>49</v>
      </c>
      <c r="F18" s="14">
        <v>1.1</v>
      </c>
      <c r="G18" s="1">
        <v>2014</v>
      </c>
      <c r="I18" s="16">
        <f t="shared" si="1"/>
        <v>1.1</v>
      </c>
      <c r="J18" s="16">
        <f t="shared" si="1"/>
        <v>1.1</v>
      </c>
      <c r="K18" s="16">
        <f t="shared" si="1"/>
        <v>1.1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212</v>
      </c>
      <c r="C19" s="4" t="s">
        <v>17</v>
      </c>
      <c r="D19" s="4" t="s">
        <v>21</v>
      </c>
      <c r="E19" s="13" t="s">
        <v>49</v>
      </c>
      <c r="F19" s="14">
        <v>14.05</v>
      </c>
      <c r="G19" s="1">
        <v>2013</v>
      </c>
      <c r="I19" s="16">
        <f t="shared" si="1"/>
        <v>14.05</v>
      </c>
      <c r="J19" s="16">
        <f t="shared" si="1"/>
        <v>14.05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213</v>
      </c>
      <c r="C20" s="4" t="s">
        <v>17</v>
      </c>
      <c r="D20" s="47" t="s">
        <v>39</v>
      </c>
      <c r="E20" s="13" t="s">
        <v>49</v>
      </c>
      <c r="F20" s="16">
        <v>13.3</v>
      </c>
      <c r="G20" s="13">
        <v>2013</v>
      </c>
      <c r="I20" s="16">
        <f t="shared" si="1"/>
        <v>13.3</v>
      </c>
      <c r="J20" s="16">
        <f t="shared" si="1"/>
        <v>13.3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5" t="s">
        <v>419</v>
      </c>
      <c r="C21" s="4" t="s">
        <v>38</v>
      </c>
      <c r="D21" s="4" t="s">
        <v>21</v>
      </c>
      <c r="E21" s="13" t="s">
        <v>49</v>
      </c>
      <c r="F21" s="14">
        <v>10.6</v>
      </c>
      <c r="G21" s="1">
        <v>2013</v>
      </c>
      <c r="I21" s="16">
        <f t="shared" si="1"/>
        <v>10.6</v>
      </c>
      <c r="J21" s="16">
        <f t="shared" si="1"/>
        <v>10.6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5" t="s">
        <v>560</v>
      </c>
      <c r="C22" s="4" t="s">
        <v>17</v>
      </c>
      <c r="D22" s="4" t="s">
        <v>16</v>
      </c>
      <c r="E22" s="13" t="s">
        <v>49</v>
      </c>
      <c r="F22" s="18">
        <v>10.05</v>
      </c>
      <c r="G22" s="4">
        <v>2013</v>
      </c>
      <c r="I22" s="16">
        <f t="shared" si="1"/>
        <v>10.05</v>
      </c>
      <c r="J22" s="16">
        <f t="shared" si="1"/>
        <v>10.05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118</v>
      </c>
      <c r="C23" s="4" t="s">
        <v>38</v>
      </c>
      <c r="D23" s="47" t="s">
        <v>32</v>
      </c>
      <c r="E23" s="13" t="s">
        <v>49</v>
      </c>
      <c r="F23" s="14">
        <v>10.05</v>
      </c>
      <c r="G23" s="1">
        <v>2012</v>
      </c>
      <c r="I23" s="16">
        <f t="shared" si="1"/>
        <v>10.05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125</v>
      </c>
      <c r="C24" s="4" t="s">
        <v>18</v>
      </c>
      <c r="D24" s="4" t="s">
        <v>16</v>
      </c>
      <c r="E24" s="13" t="s">
        <v>49</v>
      </c>
      <c r="F24" s="14">
        <v>10</v>
      </c>
      <c r="G24" s="1">
        <v>2012</v>
      </c>
      <c r="I24" s="16">
        <f t="shared" si="1"/>
        <v>10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6" t="s">
        <v>766</v>
      </c>
      <c r="C25" s="4" t="s">
        <v>38</v>
      </c>
      <c r="D25" s="4" t="s">
        <v>32</v>
      </c>
      <c r="E25" s="13" t="s">
        <v>49</v>
      </c>
      <c r="F25" s="18">
        <v>1.3</v>
      </c>
      <c r="G25" s="4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6" t="s">
        <v>708</v>
      </c>
      <c r="C26" s="4" t="s">
        <v>17</v>
      </c>
      <c r="D26" s="4" t="s">
        <v>43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709</v>
      </c>
      <c r="C27" s="4" t="s">
        <v>26</v>
      </c>
      <c r="D27" s="4" t="s">
        <v>16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5" t="s">
        <v>736</v>
      </c>
      <c r="C28" s="4" t="s">
        <v>19</v>
      </c>
      <c r="D28" s="47" t="s">
        <v>21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1" t="s">
        <v>765</v>
      </c>
      <c r="C29" s="4" t="s">
        <v>17</v>
      </c>
      <c r="D29" s="49" t="s">
        <v>56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85</v>
      </c>
      <c r="C30" s="4" t="s">
        <v>38</v>
      </c>
      <c r="D30" s="47" t="s">
        <v>57</v>
      </c>
      <c r="E30" s="13" t="s">
        <v>49</v>
      </c>
      <c r="F30" s="18">
        <v>0.9</v>
      </c>
      <c r="G30" s="4">
        <v>2012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 t="s">
        <v>95</v>
      </c>
      <c r="C31" s="4" t="s">
        <v>38</v>
      </c>
      <c r="D31" s="47" t="s">
        <v>35</v>
      </c>
      <c r="E31" s="13" t="s">
        <v>49</v>
      </c>
      <c r="F31" s="14">
        <v>0.9</v>
      </c>
      <c r="G31" s="1">
        <v>2012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 t="s">
        <v>182</v>
      </c>
      <c r="C32" s="4" t="s">
        <v>19</v>
      </c>
      <c r="D32" s="4" t="s">
        <v>30</v>
      </c>
      <c r="E32" s="13" t="s">
        <v>49</v>
      </c>
      <c r="F32" s="18">
        <v>0.9</v>
      </c>
      <c r="G32" s="4">
        <v>2012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4:13" ht="7.5" customHeight="1">
      <c r="D33" s="4"/>
      <c r="E33" s="13"/>
      <c r="F33" s="9"/>
      <c r="G33" s="10"/>
      <c r="I33" s="15"/>
      <c r="J33" s="15"/>
      <c r="K33" s="15"/>
      <c r="L33" s="15"/>
      <c r="M33" s="15"/>
    </row>
    <row r="34" spans="2:13" ht="12.75">
      <c r="B34" s="36"/>
      <c r="C34" s="37"/>
      <c r="D34" s="37"/>
      <c r="E34" s="38"/>
      <c r="F34" s="39"/>
      <c r="G34" s="40"/>
      <c r="I34" s="17">
        <f>+SUM(I5:I32)</f>
        <v>135.05000000000004</v>
      </c>
      <c r="J34" s="17">
        <f>+SUM(J5:J32)</f>
        <v>105.79999999999998</v>
      </c>
      <c r="K34" s="17">
        <f>+SUM(K5:K32)</f>
        <v>57.79999999999999</v>
      </c>
      <c r="L34" s="17">
        <f>+SUM(L5:L32)</f>
        <v>31.6</v>
      </c>
      <c r="M34" s="17">
        <f>+SUM(M5:M32)</f>
        <v>3.9000000000000004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371</v>
      </c>
      <c r="C40" s="4" t="s">
        <v>17</v>
      </c>
      <c r="D40" s="4" t="s">
        <v>29</v>
      </c>
      <c r="E40" s="13" t="s">
        <v>81</v>
      </c>
      <c r="F40" s="14">
        <v>1.1</v>
      </c>
      <c r="G40" s="1">
        <v>2014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0.35000000000000003</v>
      </c>
      <c r="K40" s="16">
        <f aca="true" t="shared" si="5" ref="K40:K46">+CEILING(IF($K$38&lt;=G40,F40*0.3,0),0.05)</f>
        <v>0.35000000000000003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6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13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6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26"/>
      <c r="C46" s="22" t="s">
        <v>94</v>
      </c>
      <c r="D46" s="22" t="s">
        <v>94</v>
      </c>
      <c r="E46" s="28" t="s">
        <v>94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6"/>
      <c r="D48" s="4"/>
      <c r="E48" s="13"/>
      <c r="F48" s="14"/>
      <c r="G48" s="1"/>
      <c r="I48" s="12">
        <f>+SUM(I40:I47)</f>
        <v>0.35000000000000003</v>
      </c>
      <c r="J48" s="12">
        <f>+SUM(J40:J47)</f>
        <v>0.35000000000000003</v>
      </c>
      <c r="K48" s="12">
        <f>+SUM(K40:K47)</f>
        <v>0.35000000000000003</v>
      </c>
      <c r="L48" s="12">
        <f>+SUM(L40:L47)</f>
        <v>0</v>
      </c>
      <c r="M48" s="12">
        <f>+SUM(M40:M47)</f>
        <v>0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6" t="s">
        <v>509</v>
      </c>
      <c r="C54" s="4" t="s">
        <v>19</v>
      </c>
      <c r="D54" s="4" t="s">
        <v>27</v>
      </c>
      <c r="E54" s="13">
        <v>2012</v>
      </c>
      <c r="F54" s="18">
        <v>1.2</v>
      </c>
      <c r="G54" s="4">
        <v>2015</v>
      </c>
      <c r="I54" s="16">
        <f aca="true" t="shared" si="8" ref="I54:I59">+CEILING(IF($I$52=E54,F54,IF($I$52&lt;=G54,F54*0.3,0)),0.05)</f>
        <v>1.2000000000000002</v>
      </c>
      <c r="J54" s="16">
        <f aca="true" t="shared" si="9" ref="J54:J59">+CEILING(IF($J$52&lt;=G54,F54*0.3,0),0.05)</f>
        <v>0.4</v>
      </c>
      <c r="K54" s="16">
        <f aca="true" t="shared" si="10" ref="K54:K59">+CEILING(IF($K$52&lt;=G54,F54*0.3,0),0.05)</f>
        <v>0.4</v>
      </c>
      <c r="L54" s="16">
        <f aca="true" t="shared" si="11" ref="L54:L59">+CEILING(IF($L$52&lt;=G54,F54*0.3,0),0.05)</f>
        <v>0.4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34" t="s">
        <v>181</v>
      </c>
      <c r="C55" s="4" t="s">
        <v>38</v>
      </c>
      <c r="D55" s="47" t="s">
        <v>23</v>
      </c>
      <c r="E55" s="13">
        <v>2011</v>
      </c>
      <c r="F55" s="14">
        <v>4.65</v>
      </c>
      <c r="G55" s="1">
        <v>2012</v>
      </c>
      <c r="I55" s="16">
        <f t="shared" si="8"/>
        <v>1.4000000000000001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7" t="s">
        <v>172</v>
      </c>
      <c r="C56" s="4" t="s">
        <v>38</v>
      </c>
      <c r="D56" s="4" t="s">
        <v>57</v>
      </c>
      <c r="E56" s="13">
        <v>2009</v>
      </c>
      <c r="F56" s="14">
        <v>2.3</v>
      </c>
      <c r="G56" s="1">
        <v>2012</v>
      </c>
      <c r="I56" s="16">
        <f t="shared" si="8"/>
        <v>0.7000000000000001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1" t="s">
        <v>171</v>
      </c>
      <c r="C57" s="4" t="s">
        <v>26</v>
      </c>
      <c r="D57" s="49" t="s">
        <v>100</v>
      </c>
      <c r="E57" s="13">
        <v>2012</v>
      </c>
      <c r="F57" s="14">
        <v>1.05</v>
      </c>
      <c r="G57" s="1">
        <v>2012</v>
      </c>
      <c r="I57" s="16">
        <f t="shared" si="8"/>
        <v>1.05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7" t="s">
        <v>136</v>
      </c>
      <c r="C58" s="4" t="s">
        <v>41</v>
      </c>
      <c r="D58" s="4" t="s">
        <v>28</v>
      </c>
      <c r="E58" s="13">
        <v>2009</v>
      </c>
      <c r="F58" s="14">
        <v>0.9</v>
      </c>
      <c r="G58" s="1">
        <v>2012</v>
      </c>
      <c r="I58" s="16">
        <f t="shared" si="8"/>
        <v>0.30000000000000004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7" t="s">
        <v>196</v>
      </c>
      <c r="C59" s="4" t="s">
        <v>17</v>
      </c>
      <c r="D59" s="4" t="s">
        <v>28</v>
      </c>
      <c r="E59" s="13">
        <v>2010</v>
      </c>
      <c r="F59" s="16">
        <v>0.9</v>
      </c>
      <c r="G59" s="13">
        <v>2012</v>
      </c>
      <c r="I59" s="16">
        <f t="shared" si="8"/>
        <v>0.30000000000000004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42" t="s">
        <v>184</v>
      </c>
      <c r="C60" s="4" t="s">
        <v>17</v>
      </c>
      <c r="D60" s="49" t="s">
        <v>100</v>
      </c>
      <c r="E60" s="13">
        <v>2011</v>
      </c>
      <c r="F60" s="14">
        <v>0.9</v>
      </c>
      <c r="G60" s="1">
        <v>2012</v>
      </c>
      <c r="I60" s="16">
        <f>+CEILING(IF($I$52=E60,F60,IF($I$52&lt;=G60,F60*0.3,0)),0.05)</f>
        <v>0.30000000000000004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41" t="s">
        <v>87</v>
      </c>
      <c r="C61" s="4" t="s">
        <v>17</v>
      </c>
      <c r="D61" s="49" t="s">
        <v>100</v>
      </c>
      <c r="E61" s="13">
        <v>2011</v>
      </c>
      <c r="F61" s="14">
        <v>0.9</v>
      </c>
      <c r="G61" s="1">
        <v>2012</v>
      </c>
      <c r="I61" s="16">
        <f>+CEILING(IF($I$52=E61,F61,IF($I$52&lt;=G61,F61*0.3,0)),0.05)</f>
        <v>0.30000000000000004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5.55</v>
      </c>
      <c r="J65" s="17">
        <f>+SUM(J54:J64)</f>
        <v>0.4</v>
      </c>
      <c r="K65" s="17">
        <f>+SUM(K54:K64)</f>
        <v>0.4</v>
      </c>
      <c r="L65" s="17">
        <f>+SUM(L54:L64)</f>
        <v>0.4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55</v>
      </c>
      <c r="C69" s="6"/>
      <c r="D69" s="6"/>
      <c r="E69" s="6"/>
      <c r="F69" s="6" t="s">
        <v>54</v>
      </c>
      <c r="G69" s="6" t="s">
        <v>53</v>
      </c>
      <c r="I69" s="7">
        <f>+I$3</f>
        <v>2012</v>
      </c>
      <c r="J69" s="7">
        <f>+J$3</f>
        <v>2013</v>
      </c>
      <c r="K69" s="7">
        <f>+K$3</f>
        <v>2014</v>
      </c>
      <c r="L69" s="7">
        <f>+L$3</f>
        <v>2015</v>
      </c>
      <c r="M69" s="7">
        <f>+M$3</f>
        <v>2016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102"/>
      <c r="C71" s="102"/>
      <c r="D71" s="102"/>
      <c r="E71" s="102"/>
      <c r="F71" s="18"/>
      <c r="G71" s="4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102"/>
      <c r="C72" s="102"/>
      <c r="D72" s="102"/>
      <c r="E72" s="102"/>
      <c r="I72" s="12"/>
      <c r="J72" s="12"/>
      <c r="K72" s="12"/>
      <c r="L72" s="12"/>
      <c r="M72" s="12"/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1:13" ht="12.75">
      <c r="A75" s="8"/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42">
      <selection activeCell="B73" sqref="B73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620</v>
      </c>
      <c r="C5" s="4" t="s">
        <v>15</v>
      </c>
      <c r="D5" s="4" t="s">
        <v>36</v>
      </c>
      <c r="E5" s="13" t="s">
        <v>49</v>
      </c>
      <c r="F5" s="14">
        <v>5.6</v>
      </c>
      <c r="G5" s="1">
        <v>2016</v>
      </c>
      <c r="I5" s="16">
        <f aca="true" t="shared" si="0" ref="I5:M14">+IF($G5&gt;=I$3,$F5,0)</f>
        <v>5.6</v>
      </c>
      <c r="J5" s="16">
        <f t="shared" si="0"/>
        <v>5.6</v>
      </c>
      <c r="K5" s="16">
        <f t="shared" si="0"/>
        <v>5.6</v>
      </c>
      <c r="L5" s="16">
        <f t="shared" si="0"/>
        <v>5.6</v>
      </c>
      <c r="M5" s="16">
        <f t="shared" si="0"/>
        <v>5.6</v>
      </c>
    </row>
    <row r="6" spans="1:13" ht="12.75">
      <c r="A6" s="8">
        <v>2</v>
      </c>
      <c r="B6" s="34" t="s">
        <v>649</v>
      </c>
      <c r="C6" s="4" t="s">
        <v>38</v>
      </c>
      <c r="D6" s="4" t="s">
        <v>39</v>
      </c>
      <c r="E6" s="13" t="s">
        <v>49</v>
      </c>
      <c r="F6" s="14">
        <v>1.95</v>
      </c>
      <c r="G6" s="2">
        <v>2016</v>
      </c>
      <c r="I6" s="16">
        <f t="shared" si="0"/>
        <v>1.95</v>
      </c>
      <c r="J6" s="16">
        <f t="shared" si="0"/>
        <v>1.95</v>
      </c>
      <c r="K6" s="16">
        <f t="shared" si="0"/>
        <v>1.95</v>
      </c>
      <c r="L6" s="16">
        <f t="shared" si="0"/>
        <v>1.95</v>
      </c>
      <c r="M6" s="16">
        <f t="shared" si="0"/>
        <v>1.95</v>
      </c>
    </row>
    <row r="7" spans="1:13" ht="12.75">
      <c r="A7" s="8">
        <v>3</v>
      </c>
      <c r="B7" s="3" t="s">
        <v>624</v>
      </c>
      <c r="C7" s="4" t="s">
        <v>17</v>
      </c>
      <c r="D7" s="47" t="s">
        <v>45</v>
      </c>
      <c r="E7" s="13" t="s">
        <v>49</v>
      </c>
      <c r="F7" s="18">
        <v>1.6</v>
      </c>
      <c r="G7" s="10">
        <v>2016</v>
      </c>
      <c r="I7" s="16">
        <f t="shared" si="0"/>
        <v>1.6</v>
      </c>
      <c r="J7" s="16">
        <f t="shared" si="0"/>
        <v>1.6</v>
      </c>
      <c r="K7" s="16">
        <f t="shared" si="0"/>
        <v>1.6</v>
      </c>
      <c r="L7" s="16">
        <f t="shared" si="0"/>
        <v>1.6</v>
      </c>
      <c r="M7" s="16">
        <f t="shared" si="0"/>
        <v>1.6</v>
      </c>
    </row>
    <row r="8" spans="1:13" ht="12.75">
      <c r="A8" s="8">
        <v>4</v>
      </c>
      <c r="B8" s="34" t="s">
        <v>469</v>
      </c>
      <c r="C8" s="4" t="s">
        <v>17</v>
      </c>
      <c r="D8" s="47" t="s">
        <v>40</v>
      </c>
      <c r="E8" s="13" t="s">
        <v>49</v>
      </c>
      <c r="F8" s="14">
        <v>6.25</v>
      </c>
      <c r="G8" s="2">
        <v>2015</v>
      </c>
      <c r="I8" s="16">
        <f t="shared" si="0"/>
        <v>6.25</v>
      </c>
      <c r="J8" s="16">
        <f t="shared" si="0"/>
        <v>6.25</v>
      </c>
      <c r="K8" s="16">
        <f t="shared" si="0"/>
        <v>6.25</v>
      </c>
      <c r="L8" s="16">
        <f t="shared" si="0"/>
        <v>6.25</v>
      </c>
      <c r="M8" s="16">
        <f t="shared" si="0"/>
        <v>0</v>
      </c>
    </row>
    <row r="9" spans="1:13" ht="12.75">
      <c r="A9" s="8">
        <v>5</v>
      </c>
      <c r="B9" s="46" t="s">
        <v>458</v>
      </c>
      <c r="C9" s="4" t="s">
        <v>41</v>
      </c>
      <c r="D9" s="4" t="s">
        <v>22</v>
      </c>
      <c r="E9" s="13" t="s">
        <v>49</v>
      </c>
      <c r="F9" s="14">
        <v>5.95</v>
      </c>
      <c r="G9" s="1">
        <v>2015</v>
      </c>
      <c r="I9" s="16">
        <f t="shared" si="0"/>
        <v>5.95</v>
      </c>
      <c r="J9" s="16">
        <f t="shared" si="0"/>
        <v>5.95</v>
      </c>
      <c r="K9" s="16">
        <f t="shared" si="0"/>
        <v>5.95</v>
      </c>
      <c r="L9" s="16">
        <f t="shared" si="0"/>
        <v>5.95</v>
      </c>
      <c r="M9" s="16">
        <f t="shared" si="0"/>
        <v>0</v>
      </c>
    </row>
    <row r="10" spans="1:13" ht="12.75">
      <c r="A10" s="8">
        <v>6</v>
      </c>
      <c r="B10" s="34" t="s">
        <v>489</v>
      </c>
      <c r="C10" s="4" t="s">
        <v>19</v>
      </c>
      <c r="D10" s="4" t="s">
        <v>116</v>
      </c>
      <c r="E10" s="13" t="s">
        <v>49</v>
      </c>
      <c r="F10" s="14">
        <v>3</v>
      </c>
      <c r="G10" s="2">
        <v>2015</v>
      </c>
      <c r="I10" s="16">
        <f t="shared" si="0"/>
        <v>3</v>
      </c>
      <c r="J10" s="16">
        <f t="shared" si="0"/>
        <v>3</v>
      </c>
      <c r="K10" s="16">
        <f t="shared" si="0"/>
        <v>3</v>
      </c>
      <c r="L10" s="16">
        <f t="shared" si="0"/>
        <v>3</v>
      </c>
      <c r="M10" s="16">
        <f t="shared" si="0"/>
        <v>0</v>
      </c>
    </row>
    <row r="11" spans="1:13" ht="12.75">
      <c r="A11" s="8">
        <v>7</v>
      </c>
      <c r="B11" s="3" t="s">
        <v>190</v>
      </c>
      <c r="C11" s="4" t="s">
        <v>17</v>
      </c>
      <c r="D11" s="4" t="s">
        <v>20</v>
      </c>
      <c r="E11" s="13" t="s">
        <v>49</v>
      </c>
      <c r="F11" s="18">
        <v>2.95</v>
      </c>
      <c r="G11" s="4">
        <v>2015</v>
      </c>
      <c r="I11" s="16">
        <f t="shared" si="0"/>
        <v>2.95</v>
      </c>
      <c r="J11" s="16">
        <f t="shared" si="0"/>
        <v>2.95</v>
      </c>
      <c r="K11" s="16">
        <f t="shared" si="0"/>
        <v>2.95</v>
      </c>
      <c r="L11" s="16">
        <f t="shared" si="0"/>
        <v>2.95</v>
      </c>
      <c r="M11" s="16">
        <f t="shared" si="0"/>
        <v>0</v>
      </c>
    </row>
    <row r="12" spans="1:13" ht="12.75">
      <c r="A12" s="8">
        <v>8</v>
      </c>
      <c r="B12" s="3" t="s">
        <v>554</v>
      </c>
      <c r="C12" s="4" t="s">
        <v>17</v>
      </c>
      <c r="D12" s="4" t="s">
        <v>43</v>
      </c>
      <c r="E12" s="13" t="s">
        <v>49</v>
      </c>
      <c r="F12" s="9">
        <v>13</v>
      </c>
      <c r="G12" s="10">
        <v>2014</v>
      </c>
      <c r="I12" s="16">
        <f t="shared" si="0"/>
        <v>13</v>
      </c>
      <c r="J12" s="16">
        <f t="shared" si="0"/>
        <v>13</v>
      </c>
      <c r="K12" s="16">
        <f t="shared" si="0"/>
        <v>13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4" t="s">
        <v>539</v>
      </c>
      <c r="C13" s="4" t="s">
        <v>17</v>
      </c>
      <c r="D13" s="4" t="s">
        <v>27</v>
      </c>
      <c r="E13" s="13" t="s">
        <v>49</v>
      </c>
      <c r="F13" s="14">
        <v>10.85</v>
      </c>
      <c r="G13" s="1">
        <v>2014</v>
      </c>
      <c r="I13" s="16">
        <f t="shared" si="0"/>
        <v>10.85</v>
      </c>
      <c r="J13" s="16">
        <f t="shared" si="0"/>
        <v>10.85</v>
      </c>
      <c r="K13" s="16">
        <f t="shared" si="0"/>
        <v>10.85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555</v>
      </c>
      <c r="C14" s="4" t="s">
        <v>31</v>
      </c>
      <c r="D14" s="47" t="s">
        <v>48</v>
      </c>
      <c r="E14" s="13" t="s">
        <v>49</v>
      </c>
      <c r="F14" s="18">
        <v>10.4</v>
      </c>
      <c r="G14" s="10">
        <v>2014</v>
      </c>
      <c r="I14" s="16">
        <f t="shared" si="0"/>
        <v>10.4</v>
      </c>
      <c r="J14" s="16">
        <f t="shared" si="0"/>
        <v>10.4</v>
      </c>
      <c r="K14" s="16">
        <f t="shared" si="0"/>
        <v>10.4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304</v>
      </c>
      <c r="C15" s="4" t="s">
        <v>19</v>
      </c>
      <c r="D15" s="4" t="s">
        <v>57</v>
      </c>
      <c r="E15" s="4" t="s">
        <v>49</v>
      </c>
      <c r="F15" s="18">
        <v>8.15</v>
      </c>
      <c r="G15" s="4">
        <v>2014</v>
      </c>
      <c r="I15" s="16">
        <f aca="true" t="shared" si="1" ref="I15:M24">+IF($G15&gt;=I$3,$F15,0)</f>
        <v>8.15</v>
      </c>
      <c r="J15" s="16">
        <f t="shared" si="1"/>
        <v>8.15</v>
      </c>
      <c r="K15" s="16">
        <f t="shared" si="1"/>
        <v>8.15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309</v>
      </c>
      <c r="C16" s="4" t="s">
        <v>17</v>
      </c>
      <c r="D16" s="4" t="s">
        <v>116</v>
      </c>
      <c r="E16" s="13" t="s">
        <v>49</v>
      </c>
      <c r="F16" s="14">
        <v>7.2</v>
      </c>
      <c r="G16" s="1">
        <v>2014</v>
      </c>
      <c r="I16" s="16">
        <f t="shared" si="1"/>
        <v>7.2</v>
      </c>
      <c r="J16" s="16">
        <f t="shared" si="1"/>
        <v>7.2</v>
      </c>
      <c r="K16" s="16">
        <f t="shared" si="1"/>
        <v>7.2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367</v>
      </c>
      <c r="C17" s="4" t="s">
        <v>19</v>
      </c>
      <c r="D17" s="4" t="s">
        <v>40</v>
      </c>
      <c r="E17" s="13" t="s">
        <v>49</v>
      </c>
      <c r="F17" s="14">
        <v>4.95</v>
      </c>
      <c r="G17" s="10">
        <v>2014</v>
      </c>
      <c r="I17" s="16">
        <f t="shared" si="1"/>
        <v>4.95</v>
      </c>
      <c r="J17" s="16">
        <f t="shared" si="1"/>
        <v>4.95</v>
      </c>
      <c r="K17" s="16">
        <f t="shared" si="1"/>
        <v>4.95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383</v>
      </c>
      <c r="C18" s="4" t="s">
        <v>41</v>
      </c>
      <c r="D18" s="4" t="s">
        <v>23</v>
      </c>
      <c r="E18" s="13" t="s">
        <v>49</v>
      </c>
      <c r="F18" s="14">
        <v>4.7</v>
      </c>
      <c r="G18" s="1">
        <v>2014</v>
      </c>
      <c r="I18" s="16">
        <f t="shared" si="1"/>
        <v>4.7</v>
      </c>
      <c r="J18" s="16">
        <f t="shared" si="1"/>
        <v>4.7</v>
      </c>
      <c r="K18" s="16">
        <f t="shared" si="1"/>
        <v>4.7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341</v>
      </c>
      <c r="C19" s="4" t="s">
        <v>26</v>
      </c>
      <c r="D19" s="4" t="s">
        <v>116</v>
      </c>
      <c r="E19" s="13" t="s">
        <v>49</v>
      </c>
      <c r="F19" s="14">
        <v>4.35</v>
      </c>
      <c r="G19" s="10">
        <v>2014</v>
      </c>
      <c r="I19" s="16">
        <f t="shared" si="1"/>
        <v>4.35</v>
      </c>
      <c r="J19" s="16">
        <f t="shared" si="1"/>
        <v>4.35</v>
      </c>
      <c r="K19" s="16">
        <f t="shared" si="1"/>
        <v>4.35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502</v>
      </c>
      <c r="C20" s="4" t="s">
        <v>38</v>
      </c>
      <c r="D20" s="4" t="s">
        <v>101</v>
      </c>
      <c r="E20" s="13" t="s">
        <v>49</v>
      </c>
      <c r="F20" s="18">
        <v>4.25</v>
      </c>
      <c r="G20" s="4">
        <v>2014</v>
      </c>
      <c r="I20" s="16">
        <f t="shared" si="1"/>
        <v>4.25</v>
      </c>
      <c r="J20" s="16">
        <f t="shared" si="1"/>
        <v>4.25</v>
      </c>
      <c r="K20" s="16">
        <f t="shared" si="1"/>
        <v>4.25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6" t="s">
        <v>370</v>
      </c>
      <c r="C21" s="4" t="s">
        <v>17</v>
      </c>
      <c r="D21" s="4" t="s">
        <v>35</v>
      </c>
      <c r="E21" s="13" t="s">
        <v>49</v>
      </c>
      <c r="F21" s="14">
        <v>3.35</v>
      </c>
      <c r="G21" s="10">
        <v>2014</v>
      </c>
      <c r="I21" s="16">
        <f t="shared" si="1"/>
        <v>3.35</v>
      </c>
      <c r="J21" s="16">
        <f t="shared" si="1"/>
        <v>3.35</v>
      </c>
      <c r="K21" s="16">
        <f t="shared" si="1"/>
        <v>3.35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368</v>
      </c>
      <c r="C22" s="4" t="s">
        <v>38</v>
      </c>
      <c r="D22" s="4" t="s">
        <v>48</v>
      </c>
      <c r="E22" s="13" t="s">
        <v>49</v>
      </c>
      <c r="F22" s="14">
        <v>1.5</v>
      </c>
      <c r="G22" s="10">
        <v>2014</v>
      </c>
      <c r="I22" s="16">
        <f t="shared" si="1"/>
        <v>1.5</v>
      </c>
      <c r="J22" s="16">
        <f t="shared" si="1"/>
        <v>1.5</v>
      </c>
      <c r="K22" s="16">
        <f t="shared" si="1"/>
        <v>1.5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222</v>
      </c>
      <c r="C23" s="4" t="s">
        <v>17</v>
      </c>
      <c r="D23" s="4" t="s">
        <v>23</v>
      </c>
      <c r="E23" s="13" t="s">
        <v>49</v>
      </c>
      <c r="F23" s="14">
        <v>10.15</v>
      </c>
      <c r="G23" s="1">
        <v>2013</v>
      </c>
      <c r="I23" s="16">
        <f t="shared" si="1"/>
        <v>10.15</v>
      </c>
      <c r="J23" s="16">
        <f t="shared" si="1"/>
        <v>10.15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236</v>
      </c>
      <c r="C24" s="4" t="s">
        <v>19</v>
      </c>
      <c r="D24" s="4" t="s">
        <v>48</v>
      </c>
      <c r="E24" s="4" t="s">
        <v>49</v>
      </c>
      <c r="F24" s="9">
        <v>4</v>
      </c>
      <c r="G24" s="10">
        <v>2013</v>
      </c>
      <c r="I24" s="16">
        <f t="shared" si="1"/>
        <v>4</v>
      </c>
      <c r="J24" s="16">
        <f t="shared" si="1"/>
        <v>4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263</v>
      </c>
      <c r="C25" s="4" t="s">
        <v>19</v>
      </c>
      <c r="D25" s="4" t="s">
        <v>40</v>
      </c>
      <c r="E25" s="13" t="s">
        <v>49</v>
      </c>
      <c r="F25" s="14">
        <v>2.65</v>
      </c>
      <c r="G25" s="2">
        <v>2013</v>
      </c>
      <c r="I25" s="16">
        <f aca="true" t="shared" si="2" ref="I25:M32">+IF($G25&gt;=I$3,$F25,0)</f>
        <v>2.65</v>
      </c>
      <c r="J25" s="16">
        <f t="shared" si="2"/>
        <v>2.65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4" t="s">
        <v>600</v>
      </c>
      <c r="C26" s="4" t="s">
        <v>18</v>
      </c>
      <c r="D26" s="47" t="s">
        <v>25</v>
      </c>
      <c r="E26" s="13" t="s">
        <v>49</v>
      </c>
      <c r="F26" s="14">
        <v>1.3</v>
      </c>
      <c r="G26" s="1">
        <v>2013</v>
      </c>
      <c r="I26" s="16">
        <f t="shared" si="2"/>
        <v>1.3</v>
      </c>
      <c r="J26" s="16">
        <f t="shared" si="2"/>
        <v>1.3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299</v>
      </c>
      <c r="C27" s="4" t="s">
        <v>26</v>
      </c>
      <c r="D27" s="4" t="s">
        <v>21</v>
      </c>
      <c r="E27" s="13" t="s">
        <v>49</v>
      </c>
      <c r="F27" s="14">
        <v>7</v>
      </c>
      <c r="G27" s="2">
        <v>2012</v>
      </c>
      <c r="I27" s="16">
        <f t="shared" si="2"/>
        <v>7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386</v>
      </c>
      <c r="C28" s="4" t="s">
        <v>38</v>
      </c>
      <c r="D28" s="4" t="s">
        <v>46</v>
      </c>
      <c r="E28" s="13" t="s">
        <v>49</v>
      </c>
      <c r="F28" s="14">
        <v>3.85</v>
      </c>
      <c r="G28" s="1">
        <v>2012</v>
      </c>
      <c r="I28" s="16">
        <f t="shared" si="2"/>
        <v>3.85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740</v>
      </c>
      <c r="C29" s="47" t="s">
        <v>19</v>
      </c>
      <c r="D29" s="47" t="s">
        <v>57</v>
      </c>
      <c r="E29" s="13" t="s">
        <v>49</v>
      </c>
      <c r="F29" s="14">
        <v>1.3</v>
      </c>
      <c r="G29" s="10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 t="s">
        <v>795</v>
      </c>
      <c r="C30" s="4" t="s">
        <v>17</v>
      </c>
      <c r="D30" s="47" t="s">
        <v>23</v>
      </c>
      <c r="E30" s="13" t="s">
        <v>49</v>
      </c>
      <c r="F30" s="14">
        <v>1.3</v>
      </c>
      <c r="G30" s="2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347</v>
      </c>
      <c r="C31" s="4" t="s">
        <v>38</v>
      </c>
      <c r="D31" s="4" t="s">
        <v>46</v>
      </c>
      <c r="E31" s="13" t="s">
        <v>49</v>
      </c>
      <c r="F31" s="9">
        <v>1.3</v>
      </c>
      <c r="G31" s="10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5" t="s">
        <v>97</v>
      </c>
      <c r="C32" s="47" t="s">
        <v>17</v>
      </c>
      <c r="D32" s="47" t="s">
        <v>47</v>
      </c>
      <c r="E32" s="13" t="s">
        <v>49</v>
      </c>
      <c r="F32" s="14">
        <v>1.3</v>
      </c>
      <c r="G32" s="1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134.15000000000006</v>
      </c>
      <c r="J34" s="17">
        <f>+SUM(J5:J32)</f>
        <v>118.10000000000001</v>
      </c>
      <c r="K34" s="17">
        <f>+SUM(K5:K32)</f>
        <v>100</v>
      </c>
      <c r="L34" s="17">
        <f>+SUM(L5:L32)</f>
        <v>27.3</v>
      </c>
      <c r="M34" s="17">
        <f>+SUM(M5:M32)</f>
        <v>9.15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668</v>
      </c>
      <c r="C40" s="4" t="s">
        <v>18</v>
      </c>
      <c r="D40" s="4" t="s">
        <v>29</v>
      </c>
      <c r="E40" s="4" t="s">
        <v>81</v>
      </c>
      <c r="F40" s="18">
        <v>8</v>
      </c>
      <c r="G40" s="4">
        <v>2016</v>
      </c>
      <c r="I40" s="16">
        <f aca="true" t="shared" si="3" ref="I40:I45">+CEILING(IF($I$38&lt;=G40,F40*0.3,0),0.05)</f>
        <v>2.4000000000000004</v>
      </c>
      <c r="J40" s="16">
        <f aca="true" t="shared" si="4" ref="J40:J45">+CEILING(IF($J$38&lt;=G40,F40*0.3,0),0.05)</f>
        <v>2.4000000000000004</v>
      </c>
      <c r="K40" s="16">
        <f aca="true" t="shared" si="5" ref="K40:K45">+CEILING(IF($K$38&lt;=G40,F40*0.3,0),0.05)</f>
        <v>2.4000000000000004</v>
      </c>
      <c r="L40" s="16">
        <f aca="true" t="shared" si="6" ref="L40:L45">+CEILING(IF($L$38&lt;=G40,F40*0.3,0),0.05)</f>
        <v>2.4000000000000004</v>
      </c>
      <c r="M40" s="16">
        <f aca="true" t="shared" si="7" ref="M40:M45">+CEILING(IF($M$38&lt;=G40,F40*0.3,0),0.05)</f>
        <v>2.4000000000000004</v>
      </c>
    </row>
    <row r="41" spans="1:13" ht="12.75">
      <c r="A41" s="8">
        <v>2</v>
      </c>
      <c r="B41" s="3" t="s">
        <v>674</v>
      </c>
      <c r="C41" s="47" t="s">
        <v>17</v>
      </c>
      <c r="D41" s="47" t="s">
        <v>21</v>
      </c>
      <c r="E41" s="13" t="s">
        <v>81</v>
      </c>
      <c r="F41" s="14">
        <v>6.65</v>
      </c>
      <c r="G41" s="10">
        <v>2016</v>
      </c>
      <c r="I41" s="16">
        <f t="shared" si="3"/>
        <v>2</v>
      </c>
      <c r="J41" s="16">
        <f t="shared" si="4"/>
        <v>2</v>
      </c>
      <c r="K41" s="16">
        <f t="shared" si="5"/>
        <v>2</v>
      </c>
      <c r="L41" s="16">
        <f t="shared" si="6"/>
        <v>2</v>
      </c>
      <c r="M41" s="16">
        <f t="shared" si="7"/>
        <v>2</v>
      </c>
    </row>
    <row r="42" spans="1:13" ht="12.75">
      <c r="A42" s="8">
        <v>3</v>
      </c>
      <c r="B42" s="15" t="s">
        <v>442</v>
      </c>
      <c r="C42" s="4" t="s">
        <v>17</v>
      </c>
      <c r="D42" s="4" t="s">
        <v>23</v>
      </c>
      <c r="E42" s="13" t="s">
        <v>81</v>
      </c>
      <c r="F42" s="16">
        <v>6.65</v>
      </c>
      <c r="G42" s="13">
        <v>2015</v>
      </c>
      <c r="I42" s="16">
        <f t="shared" si="3"/>
        <v>2</v>
      </c>
      <c r="J42" s="16">
        <f t="shared" si="4"/>
        <v>2</v>
      </c>
      <c r="K42" s="16">
        <f t="shared" si="5"/>
        <v>2</v>
      </c>
      <c r="L42" s="16">
        <f t="shared" si="6"/>
        <v>2</v>
      </c>
      <c r="M42" s="16">
        <f t="shared" si="7"/>
        <v>0</v>
      </c>
    </row>
    <row r="43" spans="1:13" ht="12.75">
      <c r="A43" s="8">
        <v>4</v>
      </c>
      <c r="B43" s="46" t="s">
        <v>492</v>
      </c>
      <c r="C43" s="4" t="s">
        <v>31</v>
      </c>
      <c r="D43" s="4" t="s">
        <v>45</v>
      </c>
      <c r="E43" s="13" t="s">
        <v>81</v>
      </c>
      <c r="F43" s="14">
        <v>5.25</v>
      </c>
      <c r="G43" s="1">
        <v>2015</v>
      </c>
      <c r="I43" s="16">
        <f t="shared" si="3"/>
        <v>1.6</v>
      </c>
      <c r="J43" s="16">
        <f t="shared" si="4"/>
        <v>1.6</v>
      </c>
      <c r="K43" s="16">
        <f t="shared" si="5"/>
        <v>1.6</v>
      </c>
      <c r="L43" s="16">
        <f t="shared" si="6"/>
        <v>1.6</v>
      </c>
      <c r="M43" s="16">
        <f t="shared" si="7"/>
        <v>0</v>
      </c>
    </row>
    <row r="44" spans="1:13" ht="12.75">
      <c r="A44" s="8">
        <v>5</v>
      </c>
      <c r="B44" s="3" t="s">
        <v>387</v>
      </c>
      <c r="C44" s="4" t="s">
        <v>388</v>
      </c>
      <c r="D44" s="4" t="s">
        <v>40</v>
      </c>
      <c r="E44" s="4" t="s">
        <v>81</v>
      </c>
      <c r="F44" s="14">
        <v>3.25</v>
      </c>
      <c r="G44" s="1">
        <v>2014</v>
      </c>
      <c r="I44" s="16">
        <f t="shared" si="3"/>
        <v>1</v>
      </c>
      <c r="J44" s="16">
        <f t="shared" si="4"/>
        <v>1</v>
      </c>
      <c r="K44" s="16">
        <f t="shared" si="5"/>
        <v>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279</v>
      </c>
      <c r="C45" s="4" t="s">
        <v>15</v>
      </c>
      <c r="D45" s="4" t="s">
        <v>43</v>
      </c>
      <c r="E45" s="13" t="s">
        <v>81</v>
      </c>
      <c r="F45" s="16">
        <v>6.7</v>
      </c>
      <c r="G45" s="13">
        <v>2013</v>
      </c>
      <c r="I45" s="16">
        <f t="shared" si="3"/>
        <v>2.0500000000000003</v>
      </c>
      <c r="J45" s="16">
        <f t="shared" si="4"/>
        <v>2.0500000000000003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3" t="s">
        <v>667</v>
      </c>
      <c r="C46" s="22" t="s">
        <v>100</v>
      </c>
      <c r="D46" s="22" t="s">
        <v>100</v>
      </c>
      <c r="E46" s="22" t="s">
        <v>100</v>
      </c>
      <c r="F46" s="9">
        <v>8.8</v>
      </c>
      <c r="G46" s="10">
        <v>2012</v>
      </c>
      <c r="I46" s="16">
        <f>+CEILING(IF($I$38&lt;=G46,F46*0.3,0),0.05)</f>
        <v>2.6500000000000004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13.700000000000001</v>
      </c>
      <c r="J48" s="12">
        <f>+SUM(J40:J47)</f>
        <v>11.05</v>
      </c>
      <c r="K48" s="12">
        <f>+SUM(K40:K47)</f>
        <v>9</v>
      </c>
      <c r="L48" s="12">
        <f>+SUM(L40:L47)</f>
        <v>8</v>
      </c>
      <c r="M48" s="12">
        <f>+SUM(M40:M47)</f>
        <v>4.4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333</v>
      </c>
      <c r="C54" s="4" t="s">
        <v>15</v>
      </c>
      <c r="D54" s="47" t="s">
        <v>46</v>
      </c>
      <c r="E54" s="13">
        <v>2011</v>
      </c>
      <c r="F54" s="18">
        <v>4.9</v>
      </c>
      <c r="G54" s="10">
        <v>2014</v>
      </c>
      <c r="I54" s="16">
        <f aca="true" t="shared" si="8" ref="I54:I63">+CEILING(IF($I$52=E54,F54,IF($I$52&lt;=G54,F54*0.3,0)),0.05)</f>
        <v>1.5</v>
      </c>
      <c r="J54" s="16">
        <f aca="true" t="shared" si="9" ref="J54:J63">+CEILING(IF($J$52&lt;=G54,F54*0.3,0),0.05)</f>
        <v>1.5</v>
      </c>
      <c r="K54" s="16">
        <f aca="true" t="shared" si="10" ref="K54:K63">+CEILING(IF($K$52&lt;=G54,F54*0.3,0),0.05)</f>
        <v>1.5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3" t="s">
        <v>369</v>
      </c>
      <c r="C55" s="4" t="s">
        <v>31</v>
      </c>
      <c r="D55" s="4" t="s">
        <v>34</v>
      </c>
      <c r="E55" s="13">
        <v>2010</v>
      </c>
      <c r="F55" s="14">
        <v>1.5</v>
      </c>
      <c r="G55" s="10">
        <v>2014</v>
      </c>
      <c r="I55" s="16">
        <f t="shared" si="8"/>
        <v>0.45</v>
      </c>
      <c r="J55" s="16">
        <f t="shared" si="9"/>
        <v>0.45</v>
      </c>
      <c r="K55" s="16">
        <f t="shared" si="10"/>
        <v>0.45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4" t="s">
        <v>450</v>
      </c>
      <c r="C56" s="4" t="s">
        <v>18</v>
      </c>
      <c r="D56" s="47" t="s">
        <v>44</v>
      </c>
      <c r="E56" s="13">
        <v>2012</v>
      </c>
      <c r="F56" s="14">
        <v>4.25</v>
      </c>
      <c r="G56" s="2">
        <v>2013</v>
      </c>
      <c r="I56" s="16">
        <f t="shared" si="8"/>
        <v>4.25</v>
      </c>
      <c r="J56" s="16">
        <f t="shared" si="9"/>
        <v>1.3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278</v>
      </c>
      <c r="C57" s="4" t="s">
        <v>19</v>
      </c>
      <c r="D57" s="4" t="s">
        <v>28</v>
      </c>
      <c r="E57" s="13">
        <v>2010</v>
      </c>
      <c r="F57" s="14">
        <v>3.25</v>
      </c>
      <c r="G57" s="2">
        <v>2013</v>
      </c>
      <c r="I57" s="16">
        <f t="shared" si="8"/>
        <v>1</v>
      </c>
      <c r="J57" s="16">
        <f t="shared" si="9"/>
        <v>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120</v>
      </c>
      <c r="C58" s="4" t="s">
        <v>19</v>
      </c>
      <c r="D58" s="4" t="s">
        <v>32</v>
      </c>
      <c r="E58" s="13">
        <v>2010</v>
      </c>
      <c r="F58" s="14">
        <v>11.25</v>
      </c>
      <c r="G58" s="1">
        <v>2012</v>
      </c>
      <c r="I58" s="16">
        <f t="shared" si="8"/>
        <v>3.4000000000000004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4" t="s">
        <v>296</v>
      </c>
      <c r="C59" s="4" t="s">
        <v>31</v>
      </c>
      <c r="D59" s="47" t="s">
        <v>50</v>
      </c>
      <c r="E59" s="13">
        <v>2011</v>
      </c>
      <c r="F59" s="14">
        <v>10.75</v>
      </c>
      <c r="G59" s="1">
        <v>2012</v>
      </c>
      <c r="I59" s="16">
        <f t="shared" si="8"/>
        <v>3.25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170</v>
      </c>
      <c r="C60" s="4" t="s">
        <v>17</v>
      </c>
      <c r="D60" s="4" t="s">
        <v>35</v>
      </c>
      <c r="E60" s="13">
        <v>2009</v>
      </c>
      <c r="F60" s="9">
        <v>7.55</v>
      </c>
      <c r="G60" s="10">
        <v>2012</v>
      </c>
      <c r="I60" s="16">
        <f t="shared" si="8"/>
        <v>2.3000000000000003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693</v>
      </c>
      <c r="C61" s="4" t="s">
        <v>31</v>
      </c>
      <c r="D61" s="4" t="s">
        <v>28</v>
      </c>
      <c r="E61" s="13">
        <v>2012</v>
      </c>
      <c r="F61" s="9">
        <v>1.3</v>
      </c>
      <c r="G61" s="10">
        <v>2012</v>
      </c>
      <c r="I61" s="16">
        <f t="shared" si="8"/>
        <v>1.3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4" t="s">
        <v>772</v>
      </c>
      <c r="C62" s="4" t="s">
        <v>17</v>
      </c>
      <c r="D62" s="47" t="s">
        <v>21</v>
      </c>
      <c r="E62" s="13">
        <v>2012</v>
      </c>
      <c r="F62" s="14">
        <v>1.3</v>
      </c>
      <c r="G62" s="2">
        <v>2012</v>
      </c>
      <c r="I62" s="16">
        <f t="shared" si="8"/>
        <v>1.3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703</v>
      </c>
      <c r="C63" s="4" t="s">
        <v>38</v>
      </c>
      <c r="D63" s="4" t="s">
        <v>93</v>
      </c>
      <c r="E63" s="13">
        <v>2012</v>
      </c>
      <c r="F63" s="9">
        <v>1.3</v>
      </c>
      <c r="G63" s="10">
        <v>2012</v>
      </c>
      <c r="I63" s="16">
        <f t="shared" si="8"/>
        <v>1.3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45" t="s">
        <v>710</v>
      </c>
      <c r="C64" s="47" t="s">
        <v>38</v>
      </c>
      <c r="D64" s="47" t="s">
        <v>30</v>
      </c>
      <c r="E64" s="13">
        <v>2012</v>
      </c>
      <c r="F64" s="14">
        <v>1.3</v>
      </c>
      <c r="G64" s="1">
        <v>2012</v>
      </c>
      <c r="I64" s="16">
        <f aca="true" t="shared" si="13" ref="I64:I71">+CEILING(IF($I$52=E64,F64,IF($I$52&lt;=G64,F64*0.3,0)),0.05)</f>
        <v>1.3</v>
      </c>
      <c r="J64" s="16">
        <f aca="true" t="shared" si="14" ref="J64:J71">+CEILING(IF($J$52&lt;=G64,F64*0.3,0),0.05)</f>
        <v>0</v>
      </c>
      <c r="K64" s="16">
        <f aca="true" t="shared" si="15" ref="K64:K71">+CEILING(IF($K$52&lt;=G64,F64*0.3,0),0.05)</f>
        <v>0</v>
      </c>
      <c r="L64" s="16">
        <f aca="true" t="shared" si="16" ref="L64:L71">+CEILING(IF($L$52&lt;=G64,F64*0.3,0),0.05)</f>
        <v>0</v>
      </c>
      <c r="M64" s="16">
        <f aca="true" t="shared" si="17" ref="M64:M71">CEILING(IF($M$52&lt;=G64,F64*0.3,0),0.05)</f>
        <v>0</v>
      </c>
    </row>
    <row r="65" spans="1:13" ht="12.75">
      <c r="A65" s="8">
        <v>12</v>
      </c>
      <c r="B65" s="27" t="s">
        <v>180</v>
      </c>
      <c r="C65" s="4" t="s">
        <v>17</v>
      </c>
      <c r="D65" s="47" t="s">
        <v>35</v>
      </c>
      <c r="E65" s="13">
        <v>2011</v>
      </c>
      <c r="F65" s="14">
        <v>0.9</v>
      </c>
      <c r="G65" s="1">
        <v>2012</v>
      </c>
      <c r="I65" s="16">
        <f t="shared" si="13"/>
        <v>0.30000000000000004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D66" s="4"/>
      <c r="E66" s="13"/>
      <c r="F66" s="9"/>
      <c r="G66" s="10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13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D69" s="4"/>
      <c r="E69" s="13"/>
      <c r="F69" s="18"/>
      <c r="G69" s="4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D70" s="4"/>
      <c r="E70" s="13"/>
      <c r="F70" s="18"/>
      <c r="G70" s="4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D71" s="4"/>
      <c r="E71" s="13"/>
      <c r="F71" s="18"/>
      <c r="G71" s="4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21.650000000000006</v>
      </c>
      <c r="J73" s="17">
        <f>+SUM(J54:J72)</f>
        <v>4.25</v>
      </c>
      <c r="K73" s="17">
        <f>+SUM(K54:K72)</f>
        <v>1.95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104" t="s">
        <v>52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55</v>
      </c>
      <c r="C77" s="6"/>
      <c r="D77" s="6"/>
      <c r="E77" s="6"/>
      <c r="F77" s="6" t="s">
        <v>54</v>
      </c>
      <c r="G77" s="6" t="s">
        <v>53</v>
      </c>
      <c r="I77" s="7">
        <f>+I$3</f>
        <v>2012</v>
      </c>
      <c r="J77" s="7">
        <f>+J$3</f>
        <v>2013</v>
      </c>
      <c r="K77" s="7">
        <f>+K$3</f>
        <v>2014</v>
      </c>
      <c r="L77" s="7">
        <f>+L$3</f>
        <v>2015</v>
      </c>
      <c r="M77" s="7">
        <f>+M$3</f>
        <v>2016</v>
      </c>
    </row>
    <row r="78" spans="1:13" ht="7.5" customHeight="1">
      <c r="A78" s="8"/>
      <c r="J78" s="12"/>
      <c r="K78" s="12"/>
      <c r="L78" s="12"/>
      <c r="M78" s="12"/>
    </row>
    <row r="79" spans="1:13" ht="12.75">
      <c r="A79" s="8">
        <v>1</v>
      </c>
      <c r="B79" s="102"/>
      <c r="C79" s="102"/>
      <c r="D79" s="102"/>
      <c r="E79" s="102"/>
      <c r="F79" s="18"/>
      <c r="G79" s="1"/>
      <c r="I79" s="29">
        <f>F79</f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102"/>
      <c r="C80" s="102"/>
      <c r="D80" s="102"/>
      <c r="E80" s="102"/>
      <c r="F80" s="18"/>
      <c r="G80" s="4"/>
      <c r="I80" s="29">
        <f>+F80</f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12.75">
      <c r="A81" s="8">
        <v>3</v>
      </c>
      <c r="B81" s="102"/>
      <c r="C81" s="102"/>
      <c r="D81" s="102"/>
      <c r="E81" s="102"/>
      <c r="F81" s="18"/>
      <c r="G81" s="4"/>
      <c r="I81" s="29">
        <f>F81</f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ht="7.5" customHeight="1">
      <c r="A82" s="8"/>
      <c r="I82" s="12"/>
      <c r="J82" s="12"/>
      <c r="K82" s="12"/>
      <c r="L82" s="12"/>
      <c r="M82" s="12"/>
    </row>
    <row r="83" spans="1:13" ht="12.75">
      <c r="A83" s="8"/>
      <c r="I83" s="12">
        <f>+SUM(I79:I82)</f>
        <v>0</v>
      </c>
      <c r="J83" s="12">
        <f>+SUM(J79:J82)</f>
        <v>0</v>
      </c>
      <c r="K83" s="12">
        <f>+SUM(K79:K82)</f>
        <v>0</v>
      </c>
      <c r="L83" s="12">
        <f>+SUM(L79:L82)</f>
        <v>0</v>
      </c>
      <c r="M83" s="12">
        <f>+SUM(M79:M82)</f>
        <v>0</v>
      </c>
    </row>
    <row r="84" spans="9:13" ht="12.75">
      <c r="I84" s="11"/>
      <c r="J84" s="11"/>
      <c r="K84" s="11"/>
      <c r="L84" s="11"/>
      <c r="M84" s="11"/>
    </row>
  </sheetData>
  <sheetProtection/>
  <mergeCells count="7">
    <mergeCell ref="B81:E81"/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588</v>
      </c>
      <c r="C5" s="4" t="s">
        <v>31</v>
      </c>
      <c r="D5" s="4" t="s">
        <v>93</v>
      </c>
      <c r="E5" s="4" t="s">
        <v>49</v>
      </c>
      <c r="F5" s="30">
        <v>6</v>
      </c>
      <c r="G5" s="4">
        <v>2016</v>
      </c>
      <c r="I5" s="16">
        <f aca="true" t="shared" si="0" ref="I5:M14">+IF($G5&gt;=I$3,$F5,0)</f>
        <v>6</v>
      </c>
      <c r="J5" s="16">
        <f t="shared" si="0"/>
        <v>6</v>
      </c>
      <c r="K5" s="16">
        <f t="shared" si="0"/>
        <v>6</v>
      </c>
      <c r="L5" s="16">
        <f t="shared" si="0"/>
        <v>6</v>
      </c>
      <c r="M5" s="16">
        <f t="shared" si="0"/>
        <v>6</v>
      </c>
    </row>
    <row r="6" spans="1:13" ht="12.75">
      <c r="A6" s="8">
        <v>2</v>
      </c>
      <c r="B6" s="3" t="s">
        <v>657</v>
      </c>
      <c r="C6" s="4" t="s">
        <v>17</v>
      </c>
      <c r="D6" s="47" t="s">
        <v>40</v>
      </c>
      <c r="E6" s="4" t="s">
        <v>49</v>
      </c>
      <c r="F6" s="18">
        <v>4.2</v>
      </c>
      <c r="G6" s="4">
        <v>2016</v>
      </c>
      <c r="I6" s="16">
        <f t="shared" si="0"/>
        <v>4.2</v>
      </c>
      <c r="J6" s="16">
        <f t="shared" si="0"/>
        <v>4.2</v>
      </c>
      <c r="K6" s="16">
        <f t="shared" si="0"/>
        <v>4.2</v>
      </c>
      <c r="L6" s="16">
        <f t="shared" si="0"/>
        <v>4.2</v>
      </c>
      <c r="M6" s="16">
        <f t="shared" si="0"/>
        <v>4.2</v>
      </c>
    </row>
    <row r="7" spans="1:13" ht="12.75">
      <c r="A7" s="8">
        <v>3</v>
      </c>
      <c r="B7" s="45" t="s">
        <v>447</v>
      </c>
      <c r="C7" s="4" t="s">
        <v>17</v>
      </c>
      <c r="D7" s="4" t="s">
        <v>27</v>
      </c>
      <c r="E7" s="13" t="s">
        <v>49</v>
      </c>
      <c r="F7" s="14">
        <v>13.75</v>
      </c>
      <c r="G7" s="1">
        <v>2015</v>
      </c>
      <c r="I7" s="16">
        <f t="shared" si="0"/>
        <v>13.75</v>
      </c>
      <c r="J7" s="16">
        <f t="shared" si="0"/>
        <v>13.75</v>
      </c>
      <c r="K7" s="16">
        <f t="shared" si="0"/>
        <v>13.75</v>
      </c>
      <c r="L7" s="16">
        <f t="shared" si="0"/>
        <v>13.75</v>
      </c>
      <c r="M7" s="16">
        <f t="shared" si="0"/>
        <v>0</v>
      </c>
    </row>
    <row r="8" spans="1:13" ht="12.75">
      <c r="A8" s="8">
        <v>4</v>
      </c>
      <c r="B8" s="46" t="s">
        <v>446</v>
      </c>
      <c r="C8" s="47" t="s">
        <v>19</v>
      </c>
      <c r="D8" s="47" t="s">
        <v>57</v>
      </c>
      <c r="E8" s="48" t="s">
        <v>49</v>
      </c>
      <c r="F8" s="24">
        <v>5.8</v>
      </c>
      <c r="G8" s="25">
        <v>2015</v>
      </c>
      <c r="I8" s="16">
        <f t="shared" si="0"/>
        <v>5.8</v>
      </c>
      <c r="J8" s="16">
        <f t="shared" si="0"/>
        <v>5.8</v>
      </c>
      <c r="K8" s="16">
        <f t="shared" si="0"/>
        <v>5.8</v>
      </c>
      <c r="L8" s="16">
        <f t="shared" si="0"/>
        <v>5.8</v>
      </c>
      <c r="M8" s="16">
        <f t="shared" si="0"/>
        <v>0</v>
      </c>
    </row>
    <row r="9" spans="1:13" ht="12.75">
      <c r="A9" s="8">
        <v>5</v>
      </c>
      <c r="B9" s="46" t="s">
        <v>467</v>
      </c>
      <c r="C9" s="4" t="s">
        <v>17</v>
      </c>
      <c r="D9" s="4" t="s">
        <v>21</v>
      </c>
      <c r="E9" s="13" t="s">
        <v>49</v>
      </c>
      <c r="F9" s="14">
        <v>5.15</v>
      </c>
      <c r="G9" s="1">
        <v>2015</v>
      </c>
      <c r="I9" s="16">
        <f t="shared" si="0"/>
        <v>5.15</v>
      </c>
      <c r="J9" s="16">
        <f t="shared" si="0"/>
        <v>5.15</v>
      </c>
      <c r="K9" s="16">
        <f t="shared" si="0"/>
        <v>5.15</v>
      </c>
      <c r="L9" s="16">
        <f t="shared" si="0"/>
        <v>5.15</v>
      </c>
      <c r="M9" s="16">
        <f t="shared" si="0"/>
        <v>0</v>
      </c>
    </row>
    <row r="10" spans="1:13" ht="12.75">
      <c r="A10" s="8">
        <v>6</v>
      </c>
      <c r="B10" s="3" t="s">
        <v>475</v>
      </c>
      <c r="C10" s="4" t="s">
        <v>38</v>
      </c>
      <c r="D10" s="4" t="s">
        <v>23</v>
      </c>
      <c r="E10" s="13" t="s">
        <v>49</v>
      </c>
      <c r="F10" s="14">
        <v>4.3</v>
      </c>
      <c r="G10" s="1">
        <v>2015</v>
      </c>
      <c r="I10" s="16">
        <f t="shared" si="0"/>
        <v>4.3</v>
      </c>
      <c r="J10" s="16">
        <f t="shared" si="0"/>
        <v>4.3</v>
      </c>
      <c r="K10" s="16">
        <f t="shared" si="0"/>
        <v>4.3</v>
      </c>
      <c r="L10" s="16">
        <f t="shared" si="0"/>
        <v>4.3</v>
      </c>
      <c r="M10" s="16">
        <f t="shared" si="0"/>
        <v>0</v>
      </c>
    </row>
    <row r="11" spans="1:13" ht="12.75">
      <c r="A11" s="8">
        <v>7</v>
      </c>
      <c r="B11" s="46" t="s">
        <v>506</v>
      </c>
      <c r="C11" s="4" t="s">
        <v>38</v>
      </c>
      <c r="D11" s="4" t="s">
        <v>30</v>
      </c>
      <c r="E11" s="13" t="s">
        <v>49</v>
      </c>
      <c r="F11" s="14">
        <v>1.6</v>
      </c>
      <c r="G11" s="1">
        <v>2015</v>
      </c>
      <c r="I11" s="16">
        <f t="shared" si="0"/>
        <v>1.6</v>
      </c>
      <c r="J11" s="16">
        <f t="shared" si="0"/>
        <v>1.6</v>
      </c>
      <c r="K11" s="16">
        <f t="shared" si="0"/>
        <v>1.6</v>
      </c>
      <c r="L11" s="16">
        <f t="shared" si="0"/>
        <v>1.6</v>
      </c>
      <c r="M11" s="16">
        <f t="shared" si="0"/>
        <v>0</v>
      </c>
    </row>
    <row r="12" spans="1:13" ht="12.75">
      <c r="A12" s="8">
        <v>8</v>
      </c>
      <c r="B12" s="45" t="s">
        <v>507</v>
      </c>
      <c r="C12" s="4" t="s">
        <v>19</v>
      </c>
      <c r="D12" s="4" t="s">
        <v>24</v>
      </c>
      <c r="E12" s="13" t="s">
        <v>49</v>
      </c>
      <c r="F12" s="14">
        <v>1.3</v>
      </c>
      <c r="G12" s="1">
        <v>2015</v>
      </c>
      <c r="I12" s="16">
        <f t="shared" si="0"/>
        <v>1.3</v>
      </c>
      <c r="J12" s="16">
        <f t="shared" si="0"/>
        <v>1.3</v>
      </c>
      <c r="K12" s="16">
        <f t="shared" si="0"/>
        <v>1.3</v>
      </c>
      <c r="L12" s="16">
        <f t="shared" si="0"/>
        <v>1.3</v>
      </c>
      <c r="M12" s="16">
        <f t="shared" si="0"/>
        <v>0</v>
      </c>
    </row>
    <row r="13" spans="1:13" ht="12.75">
      <c r="A13" s="8">
        <v>9</v>
      </c>
      <c r="B13" s="21" t="s">
        <v>292</v>
      </c>
      <c r="C13" s="4" t="s">
        <v>15</v>
      </c>
      <c r="D13" s="4" t="s">
        <v>93</v>
      </c>
      <c r="E13" s="13" t="s">
        <v>49</v>
      </c>
      <c r="F13" s="14">
        <v>10.4</v>
      </c>
      <c r="G13" s="1">
        <v>2014</v>
      </c>
      <c r="I13" s="16">
        <f t="shared" si="0"/>
        <v>10.4</v>
      </c>
      <c r="J13" s="16">
        <f t="shared" si="0"/>
        <v>10.4</v>
      </c>
      <c r="K13" s="16">
        <f t="shared" si="0"/>
        <v>10.4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293</v>
      </c>
      <c r="C14" s="4" t="s">
        <v>18</v>
      </c>
      <c r="D14" s="4" t="s">
        <v>39</v>
      </c>
      <c r="E14" s="13" t="s">
        <v>49</v>
      </c>
      <c r="F14" s="14">
        <v>10.35</v>
      </c>
      <c r="G14" s="1">
        <v>2014</v>
      </c>
      <c r="I14" s="16">
        <f t="shared" si="0"/>
        <v>10.35</v>
      </c>
      <c r="J14" s="16">
        <f t="shared" si="0"/>
        <v>10.35</v>
      </c>
      <c r="K14" s="16">
        <f t="shared" si="0"/>
        <v>10.35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376</v>
      </c>
      <c r="C15" s="4" t="s">
        <v>19</v>
      </c>
      <c r="D15" s="4" t="s">
        <v>39</v>
      </c>
      <c r="E15" s="4" t="s">
        <v>49</v>
      </c>
      <c r="F15" s="18">
        <v>2.2</v>
      </c>
      <c r="G15" s="4">
        <v>2014</v>
      </c>
      <c r="I15" s="16">
        <f aca="true" t="shared" si="1" ref="I15:M24">+IF($G15&gt;=I$3,$F15,0)</f>
        <v>2.2</v>
      </c>
      <c r="J15" s="16">
        <f t="shared" si="1"/>
        <v>2.2</v>
      </c>
      <c r="K15" s="16">
        <f t="shared" si="1"/>
        <v>2.2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4" t="s">
        <v>396</v>
      </c>
      <c r="C16" s="4" t="s">
        <v>19</v>
      </c>
      <c r="D16" s="4" t="s">
        <v>20</v>
      </c>
      <c r="E16" s="13" t="s">
        <v>49</v>
      </c>
      <c r="F16" s="14">
        <v>1.1</v>
      </c>
      <c r="G16" s="1">
        <v>2014</v>
      </c>
      <c r="I16" s="16">
        <f t="shared" si="1"/>
        <v>1.1</v>
      </c>
      <c r="J16" s="16">
        <f t="shared" si="1"/>
        <v>1.1</v>
      </c>
      <c r="K16" s="16">
        <f t="shared" si="1"/>
        <v>1.1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46" t="s">
        <v>444</v>
      </c>
      <c r="C17" s="4" t="s">
        <v>19</v>
      </c>
      <c r="D17" s="4" t="s">
        <v>56</v>
      </c>
      <c r="E17" s="13" t="s">
        <v>49</v>
      </c>
      <c r="F17" s="14">
        <v>7.6</v>
      </c>
      <c r="G17" s="1">
        <v>2013</v>
      </c>
      <c r="I17" s="16">
        <f t="shared" si="1"/>
        <v>7.6</v>
      </c>
      <c r="J17" s="16">
        <f t="shared" si="1"/>
        <v>7.6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431</v>
      </c>
      <c r="C18" s="4" t="s">
        <v>38</v>
      </c>
      <c r="D18" s="4" t="s">
        <v>47</v>
      </c>
      <c r="E18" s="4" t="s">
        <v>49</v>
      </c>
      <c r="F18" s="9">
        <v>4.45</v>
      </c>
      <c r="G18" s="10">
        <v>2013</v>
      </c>
      <c r="I18" s="16">
        <f t="shared" si="1"/>
        <v>4.45</v>
      </c>
      <c r="J18" s="16">
        <f t="shared" si="1"/>
        <v>4.45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227</v>
      </c>
      <c r="C19" s="23" t="s">
        <v>26</v>
      </c>
      <c r="D19" s="23" t="s">
        <v>45</v>
      </c>
      <c r="E19" s="48" t="s">
        <v>49</v>
      </c>
      <c r="F19" s="24">
        <v>4.4</v>
      </c>
      <c r="G19" s="25">
        <v>2013</v>
      </c>
      <c r="I19" s="16">
        <f t="shared" si="1"/>
        <v>4.4</v>
      </c>
      <c r="J19" s="16">
        <f t="shared" si="1"/>
        <v>4.4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234</v>
      </c>
      <c r="C20" s="4" t="s">
        <v>41</v>
      </c>
      <c r="D20" s="4" t="s">
        <v>43</v>
      </c>
      <c r="E20" s="13" t="s">
        <v>49</v>
      </c>
      <c r="F20" s="14">
        <v>3.95</v>
      </c>
      <c r="G20" s="2">
        <v>2013</v>
      </c>
      <c r="I20" s="16">
        <f t="shared" si="1"/>
        <v>3.95</v>
      </c>
      <c r="J20" s="16">
        <f t="shared" si="1"/>
        <v>3.95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4" t="s">
        <v>508</v>
      </c>
      <c r="C21" s="4" t="s">
        <v>38</v>
      </c>
      <c r="D21" s="4" t="s">
        <v>40</v>
      </c>
      <c r="E21" s="13" t="s">
        <v>49</v>
      </c>
      <c r="F21" s="14">
        <v>2.45</v>
      </c>
      <c r="G21" s="1">
        <v>2013</v>
      </c>
      <c r="I21" s="16">
        <f t="shared" si="1"/>
        <v>2.45</v>
      </c>
      <c r="J21" s="16">
        <f t="shared" si="1"/>
        <v>2.45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122</v>
      </c>
      <c r="C22" s="4" t="s">
        <v>31</v>
      </c>
      <c r="D22" s="4" t="s">
        <v>22</v>
      </c>
      <c r="E22" s="4" t="s">
        <v>49</v>
      </c>
      <c r="F22" s="18">
        <v>8.8</v>
      </c>
      <c r="G22" s="4">
        <v>2012</v>
      </c>
      <c r="I22" s="16">
        <f t="shared" si="1"/>
        <v>8.8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5" t="s">
        <v>561</v>
      </c>
      <c r="C23" s="13" t="s">
        <v>26</v>
      </c>
      <c r="D23" s="13" t="s">
        <v>40</v>
      </c>
      <c r="E23" s="13" t="s">
        <v>49</v>
      </c>
      <c r="F23" s="14">
        <v>4.3</v>
      </c>
      <c r="G23" s="1">
        <v>2012</v>
      </c>
      <c r="I23" s="16">
        <f t="shared" si="1"/>
        <v>4.3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166</v>
      </c>
      <c r="C24" s="13" t="s">
        <v>17</v>
      </c>
      <c r="D24" s="13" t="s">
        <v>101</v>
      </c>
      <c r="E24" s="13" t="s">
        <v>49</v>
      </c>
      <c r="F24" s="14">
        <v>1.7</v>
      </c>
      <c r="G24" s="1">
        <v>2012</v>
      </c>
      <c r="I24" s="16">
        <f t="shared" si="1"/>
        <v>1.7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5" t="s">
        <v>714</v>
      </c>
      <c r="C25" s="4" t="s">
        <v>18</v>
      </c>
      <c r="D25" s="4" t="s">
        <v>48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715</v>
      </c>
      <c r="C26" s="4" t="s">
        <v>38</v>
      </c>
      <c r="D26" s="4" t="s">
        <v>56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729</v>
      </c>
      <c r="C27" s="4" t="s">
        <v>19</v>
      </c>
      <c r="D27" s="4" t="s">
        <v>101</v>
      </c>
      <c r="E27" s="13" t="s">
        <v>49</v>
      </c>
      <c r="F27" s="9">
        <v>1.3</v>
      </c>
      <c r="G27" s="10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4"/>
      <c r="C29" s="47"/>
      <c r="D29" s="47"/>
      <c r="E29" s="13"/>
      <c r="F29" s="24"/>
      <c r="G29" s="25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4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107.69999999999999</v>
      </c>
      <c r="J34" s="17">
        <f>+SUM(J5:J32)</f>
        <v>89</v>
      </c>
      <c r="K34" s="17">
        <f>+SUM(K5:K32)</f>
        <v>66.14999999999999</v>
      </c>
      <c r="L34" s="17">
        <f>+SUM(L5:L32)</f>
        <v>42.099999999999994</v>
      </c>
      <c r="M34" s="17">
        <f>+SUM(M5:M32)</f>
        <v>10.2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373</v>
      </c>
      <c r="C40" s="4" t="s">
        <v>19</v>
      </c>
      <c r="D40" s="4" t="s">
        <v>24</v>
      </c>
      <c r="E40" s="43" t="s">
        <v>81</v>
      </c>
      <c r="F40" s="14">
        <v>4.5</v>
      </c>
      <c r="G40" s="1">
        <v>2014</v>
      </c>
      <c r="I40" s="16">
        <f aca="true" t="shared" si="3" ref="I40:I45">+CEILING(IF($I$38&lt;=G40,F40*0.3,0),0.05)</f>
        <v>1.35</v>
      </c>
      <c r="J40" s="16">
        <f aca="true" t="shared" si="4" ref="J40:J45">+CEILING(IF($J$38&lt;=G40,F40*0.3,0),0.05)</f>
        <v>1.35</v>
      </c>
      <c r="K40" s="16">
        <f aca="true" t="shared" si="5" ref="K40:K45">+CEILING(IF($K$38&lt;=G40,F40*0.3,0),0.05)</f>
        <v>1.35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377</v>
      </c>
      <c r="C41" s="4" t="s">
        <v>18</v>
      </c>
      <c r="D41" s="4" t="s">
        <v>24</v>
      </c>
      <c r="E41" s="23" t="s">
        <v>81</v>
      </c>
      <c r="F41" s="18">
        <v>4.4</v>
      </c>
      <c r="G41" s="4">
        <v>2014</v>
      </c>
      <c r="I41" s="16">
        <f t="shared" si="3"/>
        <v>1.35</v>
      </c>
      <c r="J41" s="16">
        <f t="shared" si="4"/>
        <v>1.35</v>
      </c>
      <c r="K41" s="16">
        <f t="shared" si="5"/>
        <v>1.35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372</v>
      </c>
      <c r="C42" s="4" t="s">
        <v>17</v>
      </c>
      <c r="D42" s="4" t="s">
        <v>34</v>
      </c>
      <c r="E42" s="43" t="s">
        <v>81</v>
      </c>
      <c r="F42" s="14">
        <v>3.45</v>
      </c>
      <c r="G42" s="2">
        <v>2014</v>
      </c>
      <c r="I42" s="16">
        <f t="shared" si="3"/>
        <v>1.05</v>
      </c>
      <c r="J42" s="16">
        <f t="shared" si="4"/>
        <v>1.05</v>
      </c>
      <c r="K42" s="16">
        <f t="shared" si="5"/>
        <v>1.05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228</v>
      </c>
      <c r="C43" s="4" t="s">
        <v>15</v>
      </c>
      <c r="D43" s="4" t="s">
        <v>22</v>
      </c>
      <c r="E43" s="13" t="s">
        <v>81</v>
      </c>
      <c r="F43" s="14">
        <v>9.3</v>
      </c>
      <c r="G43" s="1">
        <v>2013</v>
      </c>
      <c r="I43" s="16">
        <f t="shared" si="3"/>
        <v>2.8000000000000003</v>
      </c>
      <c r="J43" s="16">
        <f t="shared" si="4"/>
        <v>2.8000000000000003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147</v>
      </c>
      <c r="C44" s="4" t="s">
        <v>19</v>
      </c>
      <c r="D44" s="4" t="s">
        <v>25</v>
      </c>
      <c r="E44" s="13" t="s">
        <v>81</v>
      </c>
      <c r="F44" s="14">
        <v>4.65</v>
      </c>
      <c r="G44" s="2">
        <v>2012</v>
      </c>
      <c r="I44" s="16">
        <f t="shared" si="3"/>
        <v>1.4000000000000001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2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21"/>
      <c r="C46" s="22"/>
      <c r="D46" s="22"/>
      <c r="E46" s="22"/>
      <c r="F46" s="14"/>
      <c r="G46" s="2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7.950000000000001</v>
      </c>
      <c r="J48" s="12">
        <f>+SUM(J40:J47)</f>
        <v>6.550000000000001</v>
      </c>
      <c r="K48" s="12">
        <f>+SUM(K40:K47)</f>
        <v>3.75</v>
      </c>
      <c r="L48" s="12">
        <f>+SUM(L40:L47)</f>
        <v>0</v>
      </c>
      <c r="M48" s="12">
        <f>+SUM(M40:M47)</f>
        <v>0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5" t="s">
        <v>505</v>
      </c>
      <c r="C54" s="4" t="s">
        <v>18</v>
      </c>
      <c r="D54" s="4" t="s">
        <v>45</v>
      </c>
      <c r="E54" s="13">
        <v>2011</v>
      </c>
      <c r="F54" s="14">
        <v>1.2</v>
      </c>
      <c r="G54" s="1">
        <v>2015</v>
      </c>
      <c r="I54" s="16">
        <f aca="true" t="shared" si="8" ref="I54:I65">+CEILING(IF($I$52=E54,F54,IF($I$52&lt;=G54,F54*0.3,0)),0.05)</f>
        <v>0.4</v>
      </c>
      <c r="J54" s="16">
        <f aca="true" t="shared" si="9" ref="J54:J65">+CEILING(IF($J$52&lt;=G54,F54*0.3,0),0.05)</f>
        <v>0.4</v>
      </c>
      <c r="K54" s="16">
        <f aca="true" t="shared" si="10" ref="K54:K65">+CEILING(IF($K$52&lt;=G54,F54*0.3,0),0.05)</f>
        <v>0.4</v>
      </c>
      <c r="L54" s="16">
        <f aca="true" t="shared" si="11" ref="L54:L65">+CEILING(IF($L$52&lt;=G54,F54*0.3,0),0.05)</f>
        <v>0.4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27" t="s">
        <v>374</v>
      </c>
      <c r="C55" s="4" t="s">
        <v>19</v>
      </c>
      <c r="D55" s="47" t="s">
        <v>30</v>
      </c>
      <c r="E55" s="13">
        <v>2011</v>
      </c>
      <c r="F55" s="14">
        <v>1.1</v>
      </c>
      <c r="G55" s="1">
        <v>2014</v>
      </c>
      <c r="I55" s="16">
        <f t="shared" si="8"/>
        <v>0.35000000000000003</v>
      </c>
      <c r="J55" s="16">
        <f t="shared" si="9"/>
        <v>0.35000000000000003</v>
      </c>
      <c r="K55" s="16">
        <f t="shared" si="10"/>
        <v>0.35000000000000003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7" t="s">
        <v>375</v>
      </c>
      <c r="C56" s="4" t="s">
        <v>38</v>
      </c>
      <c r="D56" s="4" t="s">
        <v>56</v>
      </c>
      <c r="E56" s="13">
        <v>2010</v>
      </c>
      <c r="F56" s="14">
        <v>2.1</v>
      </c>
      <c r="G56" s="1">
        <v>2012</v>
      </c>
      <c r="I56" s="16">
        <f t="shared" si="8"/>
        <v>0.65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6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1.4</v>
      </c>
      <c r="J67" s="17">
        <f>+SUM(J54:J66)</f>
        <v>0.75</v>
      </c>
      <c r="K67" s="17">
        <f>+SUM(K54:K66)</f>
        <v>0.75</v>
      </c>
      <c r="L67" s="17">
        <f>+SUM(L54:L66)</f>
        <v>0.4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104" t="s">
        <v>52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55</v>
      </c>
      <c r="C71" s="6"/>
      <c r="D71" s="6"/>
      <c r="E71" s="6"/>
      <c r="F71" s="6" t="s">
        <v>54</v>
      </c>
      <c r="G71" s="6" t="s">
        <v>53</v>
      </c>
      <c r="I71" s="7">
        <f>+I$3</f>
        <v>2012</v>
      </c>
      <c r="J71" s="7">
        <f>+J$3</f>
        <v>2013</v>
      </c>
      <c r="K71" s="7">
        <f>+K$3</f>
        <v>2014</v>
      </c>
      <c r="L71" s="7">
        <f>+L$3</f>
        <v>2015</v>
      </c>
      <c r="M71" s="7">
        <f>+M$3</f>
        <v>2016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102"/>
      <c r="C73" s="102"/>
      <c r="D73" s="102"/>
      <c r="E73" s="102"/>
      <c r="F73" s="9"/>
      <c r="G73" s="10"/>
      <c r="I73" s="29">
        <f>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2</v>
      </c>
      <c r="B74" s="102"/>
      <c r="C74" s="102"/>
      <c r="D74" s="102"/>
      <c r="E74" s="102"/>
      <c r="F74" s="18"/>
      <c r="G74" s="4"/>
      <c r="I74" s="29">
        <f>F74</f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3</v>
      </c>
      <c r="B75" s="102"/>
      <c r="C75" s="102"/>
      <c r="D75" s="102"/>
      <c r="E75" s="102"/>
      <c r="F75" s="18"/>
      <c r="G75" s="4"/>
      <c r="I75" s="29"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12.75">
      <c r="A76" s="8">
        <v>4</v>
      </c>
      <c r="B76" s="102"/>
      <c r="C76" s="102"/>
      <c r="D76" s="102"/>
      <c r="E76" s="102"/>
      <c r="F76" s="18"/>
      <c r="G76" s="4"/>
      <c r="I76" s="29">
        <f>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5</v>
      </c>
      <c r="B77" s="102"/>
      <c r="C77" s="102"/>
      <c r="D77" s="102"/>
      <c r="E77" s="102"/>
      <c r="F77" s="18"/>
      <c r="G77" s="4"/>
      <c r="I77" s="29">
        <f>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12"/>
      <c r="J78" s="12"/>
      <c r="K78" s="12"/>
      <c r="L78" s="12"/>
      <c r="M78" s="12"/>
    </row>
    <row r="79" spans="1:13" ht="12.75">
      <c r="A79" s="8"/>
      <c r="I79" s="12">
        <f>+SUM(I73:I78)</f>
        <v>0</v>
      </c>
      <c r="J79" s="12">
        <f>+SUM(J73:J78)</f>
        <v>0</v>
      </c>
      <c r="K79" s="12">
        <f>+SUM(K73:K78)</f>
        <v>0</v>
      </c>
      <c r="L79" s="12">
        <f>+SUM(L73:L78)</f>
        <v>0</v>
      </c>
      <c r="M79" s="12">
        <f>+SUM(M73:M78)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9">
    <mergeCell ref="B77:E77"/>
    <mergeCell ref="B75:E75"/>
    <mergeCell ref="B73:E73"/>
    <mergeCell ref="B74:E74"/>
    <mergeCell ref="A1:M1"/>
    <mergeCell ref="A36:M36"/>
    <mergeCell ref="A50:M50"/>
    <mergeCell ref="A69:M69"/>
    <mergeCell ref="B76:E7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46" t="s">
        <v>531</v>
      </c>
      <c r="C5" s="4" t="s">
        <v>31</v>
      </c>
      <c r="D5" s="47" t="s">
        <v>50</v>
      </c>
      <c r="E5" s="13" t="s">
        <v>49</v>
      </c>
      <c r="F5" s="14">
        <v>8.35</v>
      </c>
      <c r="G5" s="1">
        <v>2016</v>
      </c>
      <c r="I5" s="16">
        <f aca="true" t="shared" si="0" ref="I5:M14">+IF($G5&gt;=I$3,$F5,0)</f>
        <v>8.35</v>
      </c>
      <c r="J5" s="16">
        <f t="shared" si="0"/>
        <v>8.35</v>
      </c>
      <c r="K5" s="16">
        <f t="shared" si="0"/>
        <v>8.35</v>
      </c>
      <c r="L5" s="16">
        <f t="shared" si="0"/>
        <v>8.35</v>
      </c>
      <c r="M5" s="16">
        <f t="shared" si="0"/>
        <v>8.35</v>
      </c>
    </row>
    <row r="6" spans="1:13" ht="12.75">
      <c r="A6" s="8">
        <v>2</v>
      </c>
      <c r="B6" s="21" t="s">
        <v>294</v>
      </c>
      <c r="C6" s="4" t="s">
        <v>17</v>
      </c>
      <c r="D6" s="4" t="s">
        <v>28</v>
      </c>
      <c r="E6" s="13" t="s">
        <v>49</v>
      </c>
      <c r="F6" s="14">
        <v>13.9</v>
      </c>
      <c r="G6" s="1">
        <v>2014</v>
      </c>
      <c r="I6" s="16">
        <f t="shared" si="0"/>
        <v>13.9</v>
      </c>
      <c r="J6" s="16">
        <f t="shared" si="0"/>
        <v>13.9</v>
      </c>
      <c r="K6" s="16">
        <f t="shared" si="0"/>
        <v>13.9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46" t="s">
        <v>528</v>
      </c>
      <c r="C7" s="4" t="s">
        <v>41</v>
      </c>
      <c r="D7" s="4" t="s">
        <v>47</v>
      </c>
      <c r="E7" s="13" t="s">
        <v>49</v>
      </c>
      <c r="F7" s="14">
        <v>9.5</v>
      </c>
      <c r="G7" s="1">
        <v>2014</v>
      </c>
      <c r="I7" s="16">
        <f t="shared" si="0"/>
        <v>9.5</v>
      </c>
      <c r="J7" s="16">
        <f t="shared" si="0"/>
        <v>9.5</v>
      </c>
      <c r="K7" s="16">
        <f t="shared" si="0"/>
        <v>9.5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46" t="s">
        <v>432</v>
      </c>
      <c r="C8" s="4" t="s">
        <v>17</v>
      </c>
      <c r="D8" s="47" t="s">
        <v>116</v>
      </c>
      <c r="E8" s="13" t="s">
        <v>49</v>
      </c>
      <c r="F8" s="14">
        <v>9.1</v>
      </c>
      <c r="G8" s="1">
        <v>2014</v>
      </c>
      <c r="I8" s="16">
        <f t="shared" si="0"/>
        <v>9.1</v>
      </c>
      <c r="J8" s="16">
        <f t="shared" si="0"/>
        <v>9.1</v>
      </c>
      <c r="K8" s="16">
        <f t="shared" si="0"/>
        <v>9.1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46" t="s">
        <v>529</v>
      </c>
      <c r="C9" s="47" t="s">
        <v>26</v>
      </c>
      <c r="D9" s="47" t="s">
        <v>39</v>
      </c>
      <c r="E9" s="13" t="s">
        <v>49</v>
      </c>
      <c r="F9" s="14">
        <v>7.6</v>
      </c>
      <c r="G9" s="1">
        <v>2014</v>
      </c>
      <c r="I9" s="16">
        <f t="shared" si="0"/>
        <v>7.6</v>
      </c>
      <c r="J9" s="16">
        <f t="shared" si="0"/>
        <v>7.6</v>
      </c>
      <c r="K9" s="16">
        <f t="shared" si="0"/>
        <v>7.6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339</v>
      </c>
      <c r="C10" s="4" t="s">
        <v>15</v>
      </c>
      <c r="D10" s="4" t="s">
        <v>40</v>
      </c>
      <c r="E10" s="13" t="s">
        <v>49</v>
      </c>
      <c r="F10" s="14">
        <v>5.55</v>
      </c>
      <c r="G10" s="1">
        <v>2014</v>
      </c>
      <c r="I10" s="16">
        <f t="shared" si="0"/>
        <v>5.55</v>
      </c>
      <c r="J10" s="16">
        <f t="shared" si="0"/>
        <v>5.55</v>
      </c>
      <c r="K10" s="16">
        <f t="shared" si="0"/>
        <v>5.55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46" t="s">
        <v>527</v>
      </c>
      <c r="C11" s="4" t="s">
        <v>15</v>
      </c>
      <c r="D11" s="4" t="s">
        <v>43</v>
      </c>
      <c r="E11" s="13" t="s">
        <v>49</v>
      </c>
      <c r="F11" s="14">
        <v>5.5</v>
      </c>
      <c r="G11" s="1">
        <v>2014</v>
      </c>
      <c r="I11" s="16">
        <f t="shared" si="0"/>
        <v>5.5</v>
      </c>
      <c r="J11" s="16">
        <f t="shared" si="0"/>
        <v>5.5</v>
      </c>
      <c r="K11" s="16">
        <f t="shared" si="0"/>
        <v>5.5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360</v>
      </c>
      <c r="C12" s="4" t="s">
        <v>17</v>
      </c>
      <c r="D12" s="47" t="s">
        <v>22</v>
      </c>
      <c r="E12" s="13" t="s">
        <v>49</v>
      </c>
      <c r="F12" s="14">
        <v>2.1</v>
      </c>
      <c r="G12" s="1">
        <v>2014</v>
      </c>
      <c r="I12" s="16">
        <f t="shared" si="0"/>
        <v>2.1</v>
      </c>
      <c r="J12" s="16">
        <f t="shared" si="0"/>
        <v>2.1</v>
      </c>
      <c r="K12" s="16">
        <f t="shared" si="0"/>
        <v>2.1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340</v>
      </c>
      <c r="C13" s="4" t="s">
        <v>41</v>
      </c>
      <c r="D13" s="4" t="s">
        <v>116</v>
      </c>
      <c r="E13" s="13" t="s">
        <v>49</v>
      </c>
      <c r="F13" s="14">
        <v>1.1</v>
      </c>
      <c r="G13" s="1">
        <v>2014</v>
      </c>
      <c r="I13" s="16">
        <f t="shared" si="0"/>
        <v>1.1</v>
      </c>
      <c r="J13" s="16">
        <f t="shared" si="0"/>
        <v>1.1</v>
      </c>
      <c r="K13" s="16">
        <f t="shared" si="0"/>
        <v>1.1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232</v>
      </c>
      <c r="C14" s="4" t="s">
        <v>17</v>
      </c>
      <c r="D14" s="47" t="s">
        <v>43</v>
      </c>
      <c r="E14" s="13" t="s">
        <v>49</v>
      </c>
      <c r="F14" s="14">
        <v>10.35</v>
      </c>
      <c r="G14" s="1">
        <v>2013</v>
      </c>
      <c r="I14" s="16">
        <f t="shared" si="0"/>
        <v>10.35</v>
      </c>
      <c r="J14" s="16">
        <f t="shared" si="0"/>
        <v>10.35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46" t="s">
        <v>108</v>
      </c>
      <c r="C15" s="4" t="s">
        <v>18</v>
      </c>
      <c r="D15" s="4" t="s">
        <v>318</v>
      </c>
      <c r="E15" s="13" t="s">
        <v>49</v>
      </c>
      <c r="F15" s="14">
        <v>3.35</v>
      </c>
      <c r="G15" s="1">
        <v>2013</v>
      </c>
      <c r="I15" s="16">
        <f aca="true" t="shared" si="1" ref="I15:M24">+IF($G15&gt;=I$3,$F15,0)</f>
        <v>3.35</v>
      </c>
      <c r="J15" s="16">
        <f t="shared" si="1"/>
        <v>3.35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50" t="s">
        <v>711</v>
      </c>
      <c r="C16" s="4" t="s">
        <v>38</v>
      </c>
      <c r="D16" s="47" t="s">
        <v>57</v>
      </c>
      <c r="E16" s="13" t="s">
        <v>49</v>
      </c>
      <c r="F16" s="14">
        <v>1.3</v>
      </c>
      <c r="G16" s="1">
        <v>2012</v>
      </c>
      <c r="I16" s="16">
        <f t="shared" si="1"/>
        <v>1.3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6" t="s">
        <v>117</v>
      </c>
      <c r="C17" s="4" t="s">
        <v>19</v>
      </c>
      <c r="D17" s="47" t="s">
        <v>16</v>
      </c>
      <c r="E17" s="13" t="s">
        <v>49</v>
      </c>
      <c r="F17" s="14">
        <v>15</v>
      </c>
      <c r="G17" s="1">
        <v>2012</v>
      </c>
      <c r="I17" s="16">
        <f t="shared" si="1"/>
        <v>15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760</v>
      </c>
      <c r="C18" s="47" t="s">
        <v>38</v>
      </c>
      <c r="D18" s="47" t="s">
        <v>116</v>
      </c>
      <c r="E18" s="13" t="s">
        <v>49</v>
      </c>
      <c r="F18" s="14">
        <v>1.3</v>
      </c>
      <c r="G18" s="1">
        <v>2012</v>
      </c>
      <c r="I18" s="16">
        <f t="shared" si="1"/>
        <v>1.3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46" t="s">
        <v>455</v>
      </c>
      <c r="C19" s="4" t="s">
        <v>19</v>
      </c>
      <c r="D19" s="4" t="s">
        <v>28</v>
      </c>
      <c r="E19" s="13" t="s">
        <v>49</v>
      </c>
      <c r="F19" s="14">
        <v>7.45</v>
      </c>
      <c r="G19" s="1">
        <v>2012</v>
      </c>
      <c r="I19" s="16">
        <f t="shared" si="1"/>
        <v>7.45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804</v>
      </c>
      <c r="C20" s="4" t="s">
        <v>17</v>
      </c>
      <c r="D20" s="4" t="s">
        <v>22</v>
      </c>
      <c r="E20" s="13" t="s">
        <v>49</v>
      </c>
      <c r="F20" s="14">
        <v>1.3</v>
      </c>
      <c r="G20" s="1">
        <v>2012</v>
      </c>
      <c r="I20" s="16">
        <f t="shared" si="1"/>
        <v>1.3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6" t="s">
        <v>422</v>
      </c>
      <c r="C21" s="4" t="s">
        <v>19</v>
      </c>
      <c r="D21" s="4" t="s">
        <v>39</v>
      </c>
      <c r="E21" s="13" t="s">
        <v>49</v>
      </c>
      <c r="F21" s="14">
        <v>6.35</v>
      </c>
      <c r="G21" s="1">
        <v>2012</v>
      </c>
      <c r="I21" s="16">
        <f t="shared" si="1"/>
        <v>6.35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46" t="s">
        <v>258</v>
      </c>
      <c r="C22" s="4" t="s">
        <v>38</v>
      </c>
      <c r="D22" s="4" t="s">
        <v>48</v>
      </c>
      <c r="E22" s="13" t="s">
        <v>49</v>
      </c>
      <c r="F22" s="14">
        <v>1.3</v>
      </c>
      <c r="G22" s="1">
        <v>2012</v>
      </c>
      <c r="I22" s="16">
        <f t="shared" si="1"/>
        <v>1.3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6" t="s">
        <v>696</v>
      </c>
      <c r="C23" s="4" t="s">
        <v>38</v>
      </c>
      <c r="D23" s="4" t="s">
        <v>45</v>
      </c>
      <c r="E23" s="13" t="s">
        <v>49</v>
      </c>
      <c r="F23" s="14">
        <v>1.3</v>
      </c>
      <c r="G23" s="1">
        <v>2012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46" t="s">
        <v>808</v>
      </c>
      <c r="C24" s="4" t="s">
        <v>38</v>
      </c>
      <c r="D24" s="4" t="s">
        <v>37</v>
      </c>
      <c r="E24" s="13" t="s">
        <v>49</v>
      </c>
      <c r="F24" s="14">
        <v>1.3</v>
      </c>
      <c r="G24" s="1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6" t="s">
        <v>706</v>
      </c>
      <c r="C25" s="4" t="s">
        <v>38</v>
      </c>
      <c r="D25" s="4" t="s">
        <v>32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6" t="s">
        <v>707</v>
      </c>
      <c r="C26" s="4" t="s">
        <v>26</v>
      </c>
      <c r="D26" s="4" t="s">
        <v>32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46" t="s">
        <v>465</v>
      </c>
      <c r="C27" s="4" t="s">
        <v>41</v>
      </c>
      <c r="D27" s="4" t="s">
        <v>50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46" t="s">
        <v>381</v>
      </c>
      <c r="C28" s="13" t="s">
        <v>17</v>
      </c>
      <c r="D28" s="13" t="s">
        <v>21</v>
      </c>
      <c r="E28" s="13" t="s">
        <v>49</v>
      </c>
      <c r="F28" s="14">
        <v>1.3</v>
      </c>
      <c r="G28" s="1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6" t="s">
        <v>777</v>
      </c>
      <c r="C29" s="4" t="s">
        <v>31</v>
      </c>
      <c r="D29" s="4" t="s">
        <v>50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46" t="s">
        <v>797</v>
      </c>
      <c r="C30" s="4" t="s">
        <v>15</v>
      </c>
      <c r="D30" s="4" t="s">
        <v>47</v>
      </c>
      <c r="E30" s="13" t="s">
        <v>49</v>
      </c>
      <c r="F30" s="14">
        <v>1.3</v>
      </c>
      <c r="G30" s="2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6" t="s">
        <v>799</v>
      </c>
      <c r="C31" s="4" t="s">
        <v>17</v>
      </c>
      <c r="D31" s="47" t="s">
        <v>34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46" t="s">
        <v>801</v>
      </c>
      <c r="C32" s="4" t="s">
        <v>17</v>
      </c>
      <c r="D32" s="4" t="s">
        <v>24</v>
      </c>
      <c r="E32" s="13" t="s">
        <v>49</v>
      </c>
      <c r="F32" s="14">
        <v>1.3</v>
      </c>
      <c r="G32" s="2">
        <v>2012</v>
      </c>
      <c r="I32" s="16">
        <f t="shared" si="2"/>
        <v>1.3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123.39999999999995</v>
      </c>
      <c r="J34" s="17">
        <f>+SUM(J5:J32)</f>
        <v>76.39999999999999</v>
      </c>
      <c r="K34" s="17">
        <f>+SUM(K5:K32)</f>
        <v>62.7</v>
      </c>
      <c r="L34" s="17">
        <f>+SUM(L5:L32)</f>
        <v>8.35</v>
      </c>
      <c r="M34" s="17">
        <f>+SUM(M5:M32)</f>
        <v>8.35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+I$3</f>
        <v>2012</v>
      </c>
      <c r="J38" s="7">
        <f>+J$3</f>
        <v>2013</v>
      </c>
      <c r="K38" s="7">
        <f>+K$3</f>
        <v>2014</v>
      </c>
      <c r="L38" s="7">
        <f>+L$3</f>
        <v>2015</v>
      </c>
      <c r="M38" s="7">
        <f>+M$3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6" t="s">
        <v>286</v>
      </c>
      <c r="C40" s="4" t="s">
        <v>17</v>
      </c>
      <c r="D40" s="4" t="s">
        <v>56</v>
      </c>
      <c r="E40" s="13" t="s">
        <v>81</v>
      </c>
      <c r="F40" s="14">
        <v>6.55</v>
      </c>
      <c r="G40" s="1">
        <v>2013</v>
      </c>
      <c r="I40" s="16">
        <f aca="true" t="shared" si="3" ref="I40:I46">+CEILING(IF($I$38&lt;=G40,F40*0.3,0),0.05)</f>
        <v>2</v>
      </c>
      <c r="J40" s="16">
        <f aca="true" t="shared" si="4" ref="J40:J46">+CEILING(IF($J$38&lt;=G40,F40*0.3,0),0.05)</f>
        <v>2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273</v>
      </c>
      <c r="C41" s="4" t="s">
        <v>18</v>
      </c>
      <c r="D41" s="4" t="s">
        <v>34</v>
      </c>
      <c r="E41" s="13" t="s">
        <v>81</v>
      </c>
      <c r="F41" s="16">
        <v>6.1</v>
      </c>
      <c r="G41" s="13">
        <v>2013</v>
      </c>
      <c r="I41" s="16">
        <f t="shared" si="3"/>
        <v>1.85</v>
      </c>
      <c r="J41" s="16">
        <f t="shared" si="4"/>
        <v>1.85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6" t="s">
        <v>285</v>
      </c>
      <c r="C42" s="4" t="s">
        <v>17</v>
      </c>
      <c r="D42" s="4" t="s">
        <v>34</v>
      </c>
      <c r="E42" s="13" t="s">
        <v>81</v>
      </c>
      <c r="F42" s="14">
        <v>4.9</v>
      </c>
      <c r="G42" s="1">
        <v>2013</v>
      </c>
      <c r="I42" s="16">
        <f t="shared" si="3"/>
        <v>1.5</v>
      </c>
      <c r="J42" s="16">
        <f t="shared" si="4"/>
        <v>1.5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44" t="s">
        <v>112</v>
      </c>
      <c r="C43" s="4" t="s">
        <v>38</v>
      </c>
      <c r="D43" s="47" t="s">
        <v>46</v>
      </c>
      <c r="E43" s="13" t="s">
        <v>81</v>
      </c>
      <c r="F43" s="14">
        <v>1</v>
      </c>
      <c r="G43" s="1">
        <v>2013</v>
      </c>
      <c r="I43" s="16">
        <f t="shared" si="3"/>
        <v>0.30000000000000004</v>
      </c>
      <c r="J43" s="16">
        <f t="shared" si="4"/>
        <v>0.30000000000000004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15"/>
      <c r="C46" s="22"/>
      <c r="D46" s="22"/>
      <c r="E46" s="22"/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5.6499999999999995</v>
      </c>
      <c r="J48" s="12">
        <f>+SUM(J40:J47)</f>
        <v>5.6499999999999995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15" t="s">
        <v>137</v>
      </c>
      <c r="C54" s="4" t="s">
        <v>17</v>
      </c>
      <c r="D54" s="4" t="s">
        <v>20</v>
      </c>
      <c r="E54" s="13">
        <v>2008</v>
      </c>
      <c r="F54" s="14">
        <v>10.2</v>
      </c>
      <c r="G54" s="1">
        <v>2012</v>
      </c>
      <c r="I54" s="16">
        <f aca="true" t="shared" si="8" ref="I54:I63">+CEILING(IF($I$52=E54,F54,IF($I$52&lt;=G54,F54*0.3,0)),0.05)</f>
        <v>3.1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46" t="s">
        <v>530</v>
      </c>
      <c r="C55" s="47" t="s">
        <v>38</v>
      </c>
      <c r="D55" s="47" t="s">
        <v>47</v>
      </c>
      <c r="E55" s="13">
        <v>2012</v>
      </c>
      <c r="F55" s="14">
        <v>8.25</v>
      </c>
      <c r="G55" s="1">
        <v>2012</v>
      </c>
      <c r="I55" s="16">
        <f t="shared" si="8"/>
        <v>8.25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317</v>
      </c>
      <c r="C56" s="4" t="s">
        <v>17</v>
      </c>
      <c r="D56" s="4" t="s">
        <v>318</v>
      </c>
      <c r="E56" s="13">
        <v>2012</v>
      </c>
      <c r="F56" s="14">
        <v>6.7</v>
      </c>
      <c r="G56" s="1">
        <v>2012</v>
      </c>
      <c r="I56" s="16">
        <f t="shared" si="8"/>
        <v>6.7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6" t="s">
        <v>157</v>
      </c>
      <c r="C57" s="4" t="s">
        <v>19</v>
      </c>
      <c r="D57" s="4" t="s">
        <v>21</v>
      </c>
      <c r="E57" s="13">
        <v>2010</v>
      </c>
      <c r="F57" s="14">
        <v>5.3</v>
      </c>
      <c r="G57" s="1">
        <v>2012</v>
      </c>
      <c r="I57" s="16">
        <f t="shared" si="8"/>
        <v>1.6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46" t="s">
        <v>701</v>
      </c>
      <c r="C58" s="4" t="s">
        <v>38</v>
      </c>
      <c r="D58" s="4" t="s">
        <v>43</v>
      </c>
      <c r="E58" s="13">
        <v>2012</v>
      </c>
      <c r="F58" s="14">
        <v>1.3</v>
      </c>
      <c r="G58" s="1">
        <v>2012</v>
      </c>
      <c r="I58" s="16">
        <f t="shared" si="8"/>
        <v>1.3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/>
      <c r="C63" s="13"/>
      <c r="D63" s="13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20.950000000000003</v>
      </c>
      <c r="J67" s="17">
        <f>+SUM(J54:J66)</f>
        <v>0</v>
      </c>
      <c r="K67" s="17">
        <f>+SUM(K54:K66)</f>
        <v>0</v>
      </c>
      <c r="L67" s="17">
        <f>+SUM(L54:L66)</f>
        <v>0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104" t="s">
        <v>52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55</v>
      </c>
      <c r="C71" s="6"/>
      <c r="D71" s="6"/>
      <c r="E71" s="6"/>
      <c r="F71" s="6" t="s">
        <v>54</v>
      </c>
      <c r="G71" s="6" t="s">
        <v>53</v>
      </c>
      <c r="I71" s="7">
        <f>+I$3</f>
        <v>2012</v>
      </c>
      <c r="J71" s="7">
        <f>+J$3</f>
        <v>2013</v>
      </c>
      <c r="K71" s="7">
        <f>+K$3</f>
        <v>2014</v>
      </c>
      <c r="L71" s="7">
        <f>+L$3</f>
        <v>2015</v>
      </c>
      <c r="M71" s="7">
        <f>+M$3</f>
        <v>2016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102"/>
      <c r="C73" s="102"/>
      <c r="D73" s="102"/>
      <c r="E73" s="102"/>
      <c r="F73" s="18"/>
      <c r="G73" s="4"/>
      <c r="I73" s="29">
        <f>+F73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2</v>
      </c>
      <c r="B74" s="102"/>
      <c r="C74" s="102"/>
      <c r="D74" s="102"/>
      <c r="E74" s="102"/>
      <c r="I74" s="20"/>
      <c r="J74" s="20"/>
      <c r="K74" s="20"/>
      <c r="L74" s="20"/>
      <c r="M74" s="20"/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42">
      <selection activeCell="B70" sqref="B70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46" t="s">
        <v>562</v>
      </c>
      <c r="C5" s="4" t="s">
        <v>17</v>
      </c>
      <c r="D5" s="4" t="s">
        <v>46</v>
      </c>
      <c r="E5" s="13" t="s">
        <v>49</v>
      </c>
      <c r="F5" s="14">
        <v>6.65</v>
      </c>
      <c r="G5" s="1">
        <v>2016</v>
      </c>
      <c r="I5" s="16">
        <f aca="true" t="shared" si="0" ref="I5:M14">+IF($G5&gt;=I$3,$F5,0)</f>
        <v>6.65</v>
      </c>
      <c r="J5" s="16">
        <f t="shared" si="0"/>
        <v>6.65</v>
      </c>
      <c r="K5" s="16">
        <f t="shared" si="0"/>
        <v>6.65</v>
      </c>
      <c r="L5" s="16">
        <f t="shared" si="0"/>
        <v>6.65</v>
      </c>
      <c r="M5" s="16">
        <f t="shared" si="0"/>
        <v>6.65</v>
      </c>
    </row>
    <row r="6" spans="1:13" ht="12.75">
      <c r="A6" s="8">
        <v>2</v>
      </c>
      <c r="B6" s="46" t="s">
        <v>602</v>
      </c>
      <c r="C6" s="4" t="s">
        <v>19</v>
      </c>
      <c r="D6" s="47" t="s">
        <v>32</v>
      </c>
      <c r="E6" s="13" t="s">
        <v>49</v>
      </c>
      <c r="F6" s="14">
        <v>6.05</v>
      </c>
      <c r="G6" s="1">
        <v>2016</v>
      </c>
      <c r="I6" s="16">
        <f t="shared" si="0"/>
        <v>6.05</v>
      </c>
      <c r="J6" s="16">
        <f t="shared" si="0"/>
        <v>6.05</v>
      </c>
      <c r="K6" s="16">
        <f t="shared" si="0"/>
        <v>6.05</v>
      </c>
      <c r="L6" s="16">
        <f t="shared" si="0"/>
        <v>6.05</v>
      </c>
      <c r="M6" s="16">
        <f t="shared" si="0"/>
        <v>6.05</v>
      </c>
    </row>
    <row r="7" spans="1:13" ht="12.75">
      <c r="A7" s="8">
        <v>3</v>
      </c>
      <c r="B7" s="34" t="s">
        <v>669</v>
      </c>
      <c r="C7" s="4" t="s">
        <v>17</v>
      </c>
      <c r="D7" s="47" t="s">
        <v>39</v>
      </c>
      <c r="E7" s="13" t="s">
        <v>49</v>
      </c>
      <c r="F7" s="14">
        <v>3</v>
      </c>
      <c r="G7" s="1">
        <v>2016</v>
      </c>
      <c r="I7" s="16">
        <f t="shared" si="0"/>
        <v>3</v>
      </c>
      <c r="J7" s="16">
        <f t="shared" si="0"/>
        <v>3</v>
      </c>
      <c r="K7" s="16">
        <f t="shared" si="0"/>
        <v>3</v>
      </c>
      <c r="L7" s="16">
        <f t="shared" si="0"/>
        <v>3</v>
      </c>
      <c r="M7" s="16">
        <f t="shared" si="0"/>
        <v>3</v>
      </c>
    </row>
    <row r="8" spans="1:13" ht="12.75">
      <c r="A8" s="8">
        <v>4</v>
      </c>
      <c r="B8" s="34" t="s">
        <v>682</v>
      </c>
      <c r="C8" s="4" t="s">
        <v>17</v>
      </c>
      <c r="D8" s="4" t="s">
        <v>34</v>
      </c>
      <c r="E8" s="13" t="s">
        <v>49</v>
      </c>
      <c r="F8" s="14">
        <v>1.9</v>
      </c>
      <c r="G8" s="1">
        <v>2016</v>
      </c>
      <c r="I8" s="16">
        <f t="shared" si="0"/>
        <v>1.9</v>
      </c>
      <c r="J8" s="16">
        <f t="shared" si="0"/>
        <v>1.9</v>
      </c>
      <c r="K8" s="16">
        <f t="shared" si="0"/>
        <v>1.9</v>
      </c>
      <c r="L8" s="16">
        <f t="shared" si="0"/>
        <v>1.9</v>
      </c>
      <c r="M8" s="16">
        <f t="shared" si="0"/>
        <v>1.9</v>
      </c>
    </row>
    <row r="9" spans="1:13" ht="12.75">
      <c r="A9" s="8">
        <v>5</v>
      </c>
      <c r="B9" s="46" t="s">
        <v>471</v>
      </c>
      <c r="C9" s="4" t="s">
        <v>17</v>
      </c>
      <c r="D9" s="4" t="s">
        <v>28</v>
      </c>
      <c r="E9" s="13" t="s">
        <v>49</v>
      </c>
      <c r="F9" s="16">
        <v>4.45</v>
      </c>
      <c r="G9" s="13">
        <v>2015</v>
      </c>
      <c r="I9" s="16">
        <f t="shared" si="0"/>
        <v>4.45</v>
      </c>
      <c r="J9" s="16">
        <f t="shared" si="0"/>
        <v>4.45</v>
      </c>
      <c r="K9" s="16">
        <f t="shared" si="0"/>
        <v>4.45</v>
      </c>
      <c r="L9" s="16">
        <f t="shared" si="0"/>
        <v>4.45</v>
      </c>
      <c r="M9" s="16">
        <f t="shared" si="0"/>
        <v>0</v>
      </c>
    </row>
    <row r="10" spans="1:13" ht="12.75">
      <c r="A10" s="8">
        <v>6</v>
      </c>
      <c r="B10" s="46" t="s">
        <v>496</v>
      </c>
      <c r="C10" s="4" t="s">
        <v>38</v>
      </c>
      <c r="D10" s="4" t="s">
        <v>29</v>
      </c>
      <c r="E10" s="13" t="s">
        <v>49</v>
      </c>
      <c r="F10" s="14">
        <v>3.2</v>
      </c>
      <c r="G10" s="1">
        <v>2015</v>
      </c>
      <c r="I10" s="16">
        <f t="shared" si="0"/>
        <v>3.2</v>
      </c>
      <c r="J10" s="16">
        <f t="shared" si="0"/>
        <v>3.2</v>
      </c>
      <c r="K10" s="16">
        <f t="shared" si="0"/>
        <v>3.2</v>
      </c>
      <c r="L10" s="16">
        <f t="shared" si="0"/>
        <v>3.2</v>
      </c>
      <c r="M10" s="16">
        <f t="shared" si="0"/>
        <v>0</v>
      </c>
    </row>
    <row r="11" spans="1:13" ht="12.75">
      <c r="A11" s="8">
        <v>7</v>
      </c>
      <c r="B11" s="3" t="s">
        <v>488</v>
      </c>
      <c r="C11" s="4" t="s">
        <v>19</v>
      </c>
      <c r="D11" s="4" t="s">
        <v>45</v>
      </c>
      <c r="E11" s="13" t="s">
        <v>49</v>
      </c>
      <c r="F11" s="9">
        <v>3</v>
      </c>
      <c r="G11" s="10">
        <v>2015</v>
      </c>
      <c r="I11" s="16">
        <f t="shared" si="0"/>
        <v>3</v>
      </c>
      <c r="J11" s="16">
        <f t="shared" si="0"/>
        <v>3</v>
      </c>
      <c r="K11" s="16">
        <f t="shared" si="0"/>
        <v>3</v>
      </c>
      <c r="L11" s="16">
        <f t="shared" si="0"/>
        <v>3</v>
      </c>
      <c r="M11" s="16">
        <f t="shared" si="0"/>
        <v>0</v>
      </c>
    </row>
    <row r="12" spans="1:13" ht="12.75">
      <c r="A12" s="8">
        <v>8</v>
      </c>
      <c r="B12" s="46" t="s">
        <v>493</v>
      </c>
      <c r="C12" s="4" t="s">
        <v>18</v>
      </c>
      <c r="D12" s="4" t="s">
        <v>34</v>
      </c>
      <c r="E12" s="13" t="s">
        <v>49</v>
      </c>
      <c r="F12" s="14">
        <v>2.15</v>
      </c>
      <c r="G12" s="1">
        <v>2015</v>
      </c>
      <c r="I12" s="16">
        <f t="shared" si="0"/>
        <v>2.15</v>
      </c>
      <c r="J12" s="16">
        <f t="shared" si="0"/>
        <v>2.15</v>
      </c>
      <c r="K12" s="16">
        <f t="shared" si="0"/>
        <v>2.15</v>
      </c>
      <c r="L12" s="16">
        <f t="shared" si="0"/>
        <v>2.15</v>
      </c>
      <c r="M12" s="16">
        <f t="shared" si="0"/>
        <v>0</v>
      </c>
    </row>
    <row r="13" spans="1:13" ht="12.75">
      <c r="A13" s="8">
        <v>9</v>
      </c>
      <c r="B13" s="3" t="s">
        <v>606</v>
      </c>
      <c r="C13" s="4" t="s">
        <v>17</v>
      </c>
      <c r="D13" s="4" t="s">
        <v>681</v>
      </c>
      <c r="E13" s="13" t="s">
        <v>49</v>
      </c>
      <c r="F13" s="9">
        <v>13.3</v>
      </c>
      <c r="G13" s="10">
        <v>2014</v>
      </c>
      <c r="I13" s="16">
        <f t="shared" si="0"/>
        <v>13.3</v>
      </c>
      <c r="J13" s="16">
        <f t="shared" si="0"/>
        <v>13.3</v>
      </c>
      <c r="K13" s="16">
        <f t="shared" si="0"/>
        <v>13.3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4" t="s">
        <v>607</v>
      </c>
      <c r="C14" s="47" t="s">
        <v>18</v>
      </c>
      <c r="D14" s="47" t="s">
        <v>40</v>
      </c>
      <c r="E14" s="13" t="s">
        <v>49</v>
      </c>
      <c r="F14" s="14">
        <v>7.1</v>
      </c>
      <c r="G14" s="1">
        <v>2014</v>
      </c>
      <c r="I14" s="16">
        <f t="shared" si="0"/>
        <v>7.1</v>
      </c>
      <c r="J14" s="16">
        <f t="shared" si="0"/>
        <v>7.1</v>
      </c>
      <c r="K14" s="16">
        <f t="shared" si="0"/>
        <v>7.1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397</v>
      </c>
      <c r="C15" s="4" t="s">
        <v>38</v>
      </c>
      <c r="D15" s="4" t="s">
        <v>93</v>
      </c>
      <c r="E15" s="4" t="s">
        <v>49</v>
      </c>
      <c r="F15" s="30">
        <v>4.85</v>
      </c>
      <c r="G15" s="4">
        <v>2014</v>
      </c>
      <c r="I15" s="16">
        <f aca="true" t="shared" si="1" ref="I15:M24">+IF($G15&gt;=I$3,$F15,0)</f>
        <v>4.85</v>
      </c>
      <c r="J15" s="16">
        <f t="shared" si="1"/>
        <v>4.85</v>
      </c>
      <c r="K15" s="16">
        <f t="shared" si="1"/>
        <v>4.85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399</v>
      </c>
      <c r="C16" s="4" t="s">
        <v>17</v>
      </c>
      <c r="D16" s="4" t="s">
        <v>46</v>
      </c>
      <c r="E16" s="13" t="s">
        <v>49</v>
      </c>
      <c r="F16" s="14">
        <v>3.75</v>
      </c>
      <c r="G16" s="1">
        <v>2014</v>
      </c>
      <c r="I16" s="16">
        <f t="shared" si="1"/>
        <v>3.75</v>
      </c>
      <c r="J16" s="16">
        <f t="shared" si="1"/>
        <v>3.75</v>
      </c>
      <c r="K16" s="16">
        <f t="shared" si="1"/>
        <v>3.75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280</v>
      </c>
      <c r="C17" s="4" t="s">
        <v>41</v>
      </c>
      <c r="D17" s="4" t="s">
        <v>30</v>
      </c>
      <c r="E17" s="4" t="s">
        <v>49</v>
      </c>
      <c r="F17" s="30">
        <v>7.45</v>
      </c>
      <c r="G17" s="4">
        <v>2013</v>
      </c>
      <c r="I17" s="16">
        <f t="shared" si="1"/>
        <v>7.45</v>
      </c>
      <c r="J17" s="16">
        <f t="shared" si="1"/>
        <v>7.45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124</v>
      </c>
      <c r="C18" s="47" t="s">
        <v>18</v>
      </c>
      <c r="D18" s="4" t="s">
        <v>50</v>
      </c>
      <c r="E18" s="13" t="s">
        <v>49</v>
      </c>
      <c r="F18" s="14">
        <v>13.25</v>
      </c>
      <c r="G18" s="1">
        <v>2012</v>
      </c>
      <c r="I18" s="16">
        <f t="shared" si="1"/>
        <v>13.25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121</v>
      </c>
      <c r="C19" s="4" t="s">
        <v>17</v>
      </c>
      <c r="D19" s="4" t="s">
        <v>57</v>
      </c>
      <c r="E19" s="13" t="s">
        <v>49</v>
      </c>
      <c r="F19" s="14">
        <v>9.15</v>
      </c>
      <c r="G19" s="1">
        <v>2012</v>
      </c>
      <c r="I19" s="16">
        <f t="shared" si="1"/>
        <v>9.15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221</v>
      </c>
      <c r="C20" s="4" t="s">
        <v>38</v>
      </c>
      <c r="D20" s="47" t="s">
        <v>50</v>
      </c>
      <c r="E20" s="13" t="s">
        <v>49</v>
      </c>
      <c r="F20" s="14">
        <v>8</v>
      </c>
      <c r="G20" s="1">
        <v>2012</v>
      </c>
      <c r="I20" s="16">
        <f t="shared" si="1"/>
        <v>8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44" t="s">
        <v>353</v>
      </c>
      <c r="C21" s="4" t="s">
        <v>18</v>
      </c>
      <c r="D21" s="49" t="s">
        <v>27</v>
      </c>
      <c r="E21" s="13" t="s">
        <v>49</v>
      </c>
      <c r="F21" s="14">
        <v>7.1</v>
      </c>
      <c r="G21" s="1">
        <v>2012</v>
      </c>
      <c r="I21" s="16">
        <f t="shared" si="1"/>
        <v>7.1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364</v>
      </c>
      <c r="C22" s="4" t="s">
        <v>31</v>
      </c>
      <c r="D22" s="4" t="s">
        <v>39</v>
      </c>
      <c r="E22" s="13" t="s">
        <v>49</v>
      </c>
      <c r="F22" s="14">
        <v>2.5</v>
      </c>
      <c r="G22" s="1">
        <v>2012</v>
      </c>
      <c r="I22" s="16">
        <f t="shared" si="1"/>
        <v>2.5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46" t="s">
        <v>778</v>
      </c>
      <c r="C23" s="4" t="s">
        <v>31</v>
      </c>
      <c r="D23" s="4" t="s">
        <v>45</v>
      </c>
      <c r="E23" s="13" t="s">
        <v>49</v>
      </c>
      <c r="F23" s="14">
        <v>1.3</v>
      </c>
      <c r="G23" s="1">
        <v>2012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759</v>
      </c>
      <c r="C24" s="4" t="s">
        <v>15</v>
      </c>
      <c r="D24" s="4" t="s">
        <v>27</v>
      </c>
      <c r="E24" s="4" t="s">
        <v>49</v>
      </c>
      <c r="F24" s="30">
        <v>1.3</v>
      </c>
      <c r="G24" s="4">
        <v>2012</v>
      </c>
      <c r="I24" s="16">
        <f t="shared" si="1"/>
        <v>1.3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6" t="s">
        <v>789</v>
      </c>
      <c r="C25" s="4" t="s">
        <v>17</v>
      </c>
      <c r="D25" s="4" t="s">
        <v>43</v>
      </c>
      <c r="E25" s="13" t="s">
        <v>49</v>
      </c>
      <c r="F25" s="14">
        <v>1.3</v>
      </c>
      <c r="G25" s="1">
        <v>2012</v>
      </c>
      <c r="I25" s="16">
        <f aca="true" t="shared" si="2" ref="I25:M32">+IF($G25&gt;=I$3,$F25,0)</f>
        <v>1.3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4" t="s">
        <v>794</v>
      </c>
      <c r="C26" s="4" t="s">
        <v>19</v>
      </c>
      <c r="D26" s="4" t="s">
        <v>43</v>
      </c>
      <c r="E26" s="13" t="s">
        <v>49</v>
      </c>
      <c r="F26" s="14">
        <v>1.3</v>
      </c>
      <c r="G26" s="1">
        <v>2012</v>
      </c>
      <c r="I26" s="16">
        <f t="shared" si="2"/>
        <v>1.3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697</v>
      </c>
      <c r="C27" s="4" t="s">
        <v>26</v>
      </c>
      <c r="D27" s="47" t="s">
        <v>48</v>
      </c>
      <c r="E27" s="13" t="s">
        <v>49</v>
      </c>
      <c r="F27" s="14">
        <v>1.3</v>
      </c>
      <c r="G27" s="1">
        <v>2012</v>
      </c>
      <c r="I27" s="16">
        <f t="shared" si="2"/>
        <v>1.3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780</v>
      </c>
      <c r="C28" s="4" t="s">
        <v>19</v>
      </c>
      <c r="D28" s="4" t="s">
        <v>48</v>
      </c>
      <c r="E28" s="4" t="s">
        <v>49</v>
      </c>
      <c r="F28" s="30">
        <v>1.3</v>
      </c>
      <c r="G28" s="4">
        <v>2012</v>
      </c>
      <c r="I28" s="16">
        <f t="shared" si="2"/>
        <v>1.3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46" t="s">
        <v>811</v>
      </c>
      <c r="C29" s="4" t="s">
        <v>17</v>
      </c>
      <c r="D29" s="47" t="s">
        <v>20</v>
      </c>
      <c r="E29" s="13" t="s">
        <v>49</v>
      </c>
      <c r="F29" s="14">
        <v>1.3</v>
      </c>
      <c r="G29" s="1">
        <v>2012</v>
      </c>
      <c r="I29" s="16">
        <f t="shared" si="2"/>
        <v>1.3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763</v>
      </c>
      <c r="C30" s="4" t="s">
        <v>38</v>
      </c>
      <c r="D30" s="4" t="s">
        <v>35</v>
      </c>
      <c r="E30" s="4" t="s">
        <v>49</v>
      </c>
      <c r="F30" s="9">
        <v>1.3</v>
      </c>
      <c r="G30" s="10">
        <v>2012</v>
      </c>
      <c r="I30" s="16">
        <f t="shared" si="2"/>
        <v>1.3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46" t="s">
        <v>704</v>
      </c>
      <c r="C31" s="4" t="s">
        <v>17</v>
      </c>
      <c r="D31" s="4" t="s">
        <v>16</v>
      </c>
      <c r="E31" s="13" t="s">
        <v>49</v>
      </c>
      <c r="F31" s="14">
        <v>1.3</v>
      </c>
      <c r="G31" s="1">
        <v>2012</v>
      </c>
      <c r="I31" s="16">
        <f t="shared" si="2"/>
        <v>1.3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168</v>
      </c>
      <c r="C32" s="47" t="s">
        <v>26</v>
      </c>
      <c r="D32" s="4" t="s">
        <v>29</v>
      </c>
      <c r="E32" s="13" t="s">
        <v>49</v>
      </c>
      <c r="F32" s="14">
        <v>1.05</v>
      </c>
      <c r="G32" s="1">
        <v>2012</v>
      </c>
      <c r="I32" s="16">
        <f t="shared" si="2"/>
        <v>1.05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119.59999999999997</v>
      </c>
      <c r="J34" s="17">
        <f>+SUM(J5:J32)</f>
        <v>66.85</v>
      </c>
      <c r="K34" s="17">
        <f>+SUM(K5:K32)</f>
        <v>59.4</v>
      </c>
      <c r="L34" s="17">
        <f>+SUM(L5:L32)</f>
        <v>30.399999999999995</v>
      </c>
      <c r="M34" s="17">
        <f>+SUM(M5:M32)</f>
        <v>17.599999999999998</v>
      </c>
    </row>
    <row r="36" spans="1:13" ht="15.75">
      <c r="A36" s="103" t="s">
        <v>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ht="7.5" customHeight="1"/>
    <row r="38" spans="2:13" ht="12.75">
      <c r="B38" s="5" t="s">
        <v>1</v>
      </c>
      <c r="C38" s="6" t="s">
        <v>13</v>
      </c>
      <c r="D38" s="6" t="s">
        <v>4</v>
      </c>
      <c r="E38" s="6" t="s">
        <v>5</v>
      </c>
      <c r="F38" s="6" t="s">
        <v>3</v>
      </c>
      <c r="G38" s="6" t="s">
        <v>14</v>
      </c>
      <c r="I38" s="7">
        <f>+I3</f>
        <v>2012</v>
      </c>
      <c r="J38" s="7">
        <f>+J3</f>
        <v>2013</v>
      </c>
      <c r="K38" s="7">
        <f>+K3</f>
        <v>2014</v>
      </c>
      <c r="L38" s="7">
        <f>+L3</f>
        <v>2015</v>
      </c>
      <c r="M38" s="7">
        <f>+M3</f>
        <v>2016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46" t="s">
        <v>564</v>
      </c>
      <c r="C40" s="4" t="s">
        <v>26</v>
      </c>
      <c r="D40" s="4" t="s">
        <v>56</v>
      </c>
      <c r="E40" s="13" t="s">
        <v>81</v>
      </c>
      <c r="F40" s="14">
        <v>9.65</v>
      </c>
      <c r="G40" s="1">
        <v>2016</v>
      </c>
      <c r="I40" s="16">
        <f aca="true" t="shared" si="3" ref="I40:I45">+CEILING(IF($I$38&lt;=G40,F40*0.3,0),0.05)</f>
        <v>2.9000000000000004</v>
      </c>
      <c r="J40" s="16">
        <f aca="true" t="shared" si="4" ref="J40:J45">+CEILING(IF($J$38&lt;=G40,F40*0.3,0),0.05)</f>
        <v>2.9000000000000004</v>
      </c>
      <c r="K40" s="16">
        <f aca="true" t="shared" si="5" ref="K40:K45">+CEILING(IF($K$38&lt;=G40,F40*0.3,0),0.05)</f>
        <v>2.9000000000000004</v>
      </c>
      <c r="L40" s="16">
        <f aca="true" t="shared" si="6" ref="L40:L45">+CEILING(IF($L$38&lt;=G40,F40*0.3,0),0.05)</f>
        <v>2.9000000000000004</v>
      </c>
      <c r="M40" s="16">
        <f aca="true" t="shared" si="7" ref="M40:M45">+CEILING(IF($M$38&lt;=G40,F40*0.3,0),0.05)</f>
        <v>2.9000000000000004</v>
      </c>
    </row>
    <row r="41" spans="1:13" ht="12.75">
      <c r="A41" s="8">
        <v>2</v>
      </c>
      <c r="B41" s="46" t="s">
        <v>604</v>
      </c>
      <c r="C41" s="4" t="s">
        <v>17</v>
      </c>
      <c r="D41" s="4" t="s">
        <v>22</v>
      </c>
      <c r="E41" s="13" t="s">
        <v>81</v>
      </c>
      <c r="F41" s="14">
        <v>7.5</v>
      </c>
      <c r="G41" s="1">
        <v>2016</v>
      </c>
      <c r="I41" s="16">
        <f t="shared" si="3"/>
        <v>2.25</v>
      </c>
      <c r="J41" s="16">
        <f t="shared" si="4"/>
        <v>2.25</v>
      </c>
      <c r="K41" s="16">
        <f t="shared" si="5"/>
        <v>2.25</v>
      </c>
      <c r="L41" s="16">
        <f t="shared" si="6"/>
        <v>2.25</v>
      </c>
      <c r="M41" s="16">
        <f t="shared" si="7"/>
        <v>2.25</v>
      </c>
    </row>
    <row r="42" spans="1:13" ht="12.75">
      <c r="A42" s="8">
        <v>3</v>
      </c>
      <c r="B42" s="46" t="s">
        <v>586</v>
      </c>
      <c r="C42" s="4" t="s">
        <v>17</v>
      </c>
      <c r="D42" s="4" t="s">
        <v>56</v>
      </c>
      <c r="E42" s="13" t="s">
        <v>81</v>
      </c>
      <c r="F42" s="14">
        <v>6.2</v>
      </c>
      <c r="G42" s="2">
        <v>2016</v>
      </c>
      <c r="I42" s="16">
        <f t="shared" si="3"/>
        <v>1.9000000000000001</v>
      </c>
      <c r="J42" s="16">
        <f t="shared" si="4"/>
        <v>1.9000000000000001</v>
      </c>
      <c r="K42" s="16">
        <f t="shared" si="5"/>
        <v>1.9000000000000001</v>
      </c>
      <c r="L42" s="16">
        <f t="shared" si="6"/>
        <v>1.9000000000000001</v>
      </c>
      <c r="M42" s="16">
        <f t="shared" si="7"/>
        <v>1.9000000000000001</v>
      </c>
    </row>
    <row r="43" spans="1:13" ht="12.75">
      <c r="A43" s="8">
        <v>4</v>
      </c>
      <c r="B43" s="3" t="s">
        <v>523</v>
      </c>
      <c r="C43" s="4" t="s">
        <v>31</v>
      </c>
      <c r="D43" s="4" t="s">
        <v>40</v>
      </c>
      <c r="E43" s="4" t="s">
        <v>81</v>
      </c>
      <c r="F43" s="30">
        <v>7.55</v>
      </c>
      <c r="G43" s="4">
        <v>2015</v>
      </c>
      <c r="I43" s="16">
        <f t="shared" si="3"/>
        <v>2.3000000000000003</v>
      </c>
      <c r="J43" s="16">
        <f t="shared" si="4"/>
        <v>2.3000000000000003</v>
      </c>
      <c r="K43" s="16">
        <f t="shared" si="5"/>
        <v>2.3000000000000003</v>
      </c>
      <c r="L43" s="16">
        <f t="shared" si="6"/>
        <v>2.3000000000000003</v>
      </c>
      <c r="M43" s="16">
        <f t="shared" si="7"/>
        <v>0</v>
      </c>
    </row>
    <row r="44" spans="1:13" ht="12.75">
      <c r="A44" s="8">
        <v>5</v>
      </c>
      <c r="B44" s="46" t="s">
        <v>495</v>
      </c>
      <c r="C44" s="4" t="s">
        <v>15</v>
      </c>
      <c r="D44" s="4" t="s">
        <v>20</v>
      </c>
      <c r="E44" s="32" t="s">
        <v>81</v>
      </c>
      <c r="F44" s="19">
        <v>7.25</v>
      </c>
      <c r="G44" s="32">
        <v>2015</v>
      </c>
      <c r="I44" s="16">
        <f t="shared" si="3"/>
        <v>2.2</v>
      </c>
      <c r="J44" s="16">
        <f t="shared" si="4"/>
        <v>2.2</v>
      </c>
      <c r="K44" s="16">
        <f t="shared" si="5"/>
        <v>2.2</v>
      </c>
      <c r="L44" s="16">
        <f t="shared" si="6"/>
        <v>2.2</v>
      </c>
      <c r="M44" s="16">
        <f t="shared" si="7"/>
        <v>0</v>
      </c>
    </row>
    <row r="45" spans="1:13" ht="12.75">
      <c r="A45" s="8">
        <v>6</v>
      </c>
      <c r="B45" s="21" t="s">
        <v>245</v>
      </c>
      <c r="C45" s="4" t="s">
        <v>31</v>
      </c>
      <c r="D45" s="4" t="s">
        <v>93</v>
      </c>
      <c r="E45" s="13" t="s">
        <v>81</v>
      </c>
      <c r="F45" s="14">
        <v>2.5</v>
      </c>
      <c r="G45" s="1">
        <v>2013</v>
      </c>
      <c r="I45" s="16">
        <f t="shared" si="3"/>
        <v>0.75</v>
      </c>
      <c r="J45" s="16">
        <f t="shared" si="4"/>
        <v>0.75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82</v>
      </c>
      <c r="B46" s="45" t="s">
        <v>603</v>
      </c>
      <c r="C46" s="22" t="s">
        <v>100</v>
      </c>
      <c r="D46" s="22" t="s">
        <v>100</v>
      </c>
      <c r="E46" s="22" t="s">
        <v>100</v>
      </c>
      <c r="F46" s="9">
        <f>6.6+8.5</f>
        <v>15.1</v>
      </c>
      <c r="G46" s="10">
        <v>2012</v>
      </c>
      <c r="I46" s="16">
        <f>+CEILING(IF($I$38&lt;=G46,F46*0.3,0),0.05)</f>
        <v>4.55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31"/>
      <c r="J47" s="31"/>
      <c r="K47" s="31"/>
      <c r="L47" s="31"/>
      <c r="M47" s="31"/>
    </row>
    <row r="48" spans="1:13" ht="12.75">
      <c r="A48" s="8"/>
      <c r="I48" s="31">
        <f>+SUM(I40:I45)</f>
        <v>12.3</v>
      </c>
      <c r="J48" s="31">
        <f>+SUM(J40:J45)</f>
        <v>12.3</v>
      </c>
      <c r="K48" s="31">
        <f>+SUM(K40:K45)</f>
        <v>11.55</v>
      </c>
      <c r="L48" s="31">
        <f>+SUM(L40:L45)</f>
        <v>11.55</v>
      </c>
      <c r="M48" s="31">
        <f>+SUM(M40:M45)</f>
        <v>7.050000000000001</v>
      </c>
    </row>
    <row r="50" spans="1:13" ht="15.75">
      <c r="A50" s="104" t="s">
        <v>51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7.5" customHeight="1"/>
    <row r="52" spans="2:13" ht="12.75">
      <c r="B52" s="5" t="s">
        <v>1</v>
      </c>
      <c r="C52" s="6" t="s">
        <v>13</v>
      </c>
      <c r="D52" s="6" t="s">
        <v>4</v>
      </c>
      <c r="E52" s="6" t="s">
        <v>6</v>
      </c>
      <c r="F52" s="6" t="s">
        <v>3</v>
      </c>
      <c r="G52" s="6" t="s">
        <v>14</v>
      </c>
      <c r="I52" s="7">
        <f>+I$3</f>
        <v>2012</v>
      </c>
      <c r="J52" s="7">
        <f>+J$3</f>
        <v>2013</v>
      </c>
      <c r="K52" s="7">
        <f>+K$3</f>
        <v>2014</v>
      </c>
      <c r="L52" s="7">
        <f>+L$3</f>
        <v>2015</v>
      </c>
      <c r="M52" s="7">
        <f>+M$3</f>
        <v>2016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46" t="s">
        <v>230</v>
      </c>
      <c r="C54" s="4" t="s">
        <v>19</v>
      </c>
      <c r="D54" s="4" t="s">
        <v>23</v>
      </c>
      <c r="E54" s="13">
        <v>2011</v>
      </c>
      <c r="F54" s="14">
        <v>2.6</v>
      </c>
      <c r="G54" s="1">
        <v>2015</v>
      </c>
      <c r="I54" s="16">
        <f aca="true" t="shared" si="8" ref="I54:I61">+CEILING(IF($I$52=E54,F54,IF($I$52&lt;=G54,F54*0.3,0)),0.05)</f>
        <v>0.8</v>
      </c>
      <c r="J54" s="16">
        <f aca="true" t="shared" si="9" ref="J54:J61">+CEILING(IF($J$52&lt;=G54,F54*0.3,0),0.05)</f>
        <v>0.8</v>
      </c>
      <c r="K54" s="16">
        <f aca="true" t="shared" si="10" ref="K54:K61">+CEILING(IF($K$52&lt;=G54,F54*0.3,0),0.05)</f>
        <v>0.8</v>
      </c>
      <c r="L54" s="16">
        <f aca="true" t="shared" si="11" ref="L54:L61">+CEILING(IF($L$52&lt;=G54,F54*0.3,0),0.05)</f>
        <v>0.8</v>
      </c>
      <c r="M54" s="16">
        <f aca="true" t="shared" si="12" ref="M54:M61">CEILING(IF($M$52&lt;=G54,F54*0.3,0),0.05)</f>
        <v>0</v>
      </c>
    </row>
    <row r="55" spans="1:13" ht="12.75">
      <c r="A55" s="8">
        <v>2</v>
      </c>
      <c r="B55" s="46" t="s">
        <v>487</v>
      </c>
      <c r="C55" s="4" t="s">
        <v>15</v>
      </c>
      <c r="D55" s="4" t="s">
        <v>48</v>
      </c>
      <c r="E55" s="13">
        <v>2012</v>
      </c>
      <c r="F55" s="14">
        <v>2.2</v>
      </c>
      <c r="G55" s="1">
        <v>2015</v>
      </c>
      <c r="I55" s="16">
        <f t="shared" si="8"/>
        <v>2.2</v>
      </c>
      <c r="J55" s="16">
        <f t="shared" si="9"/>
        <v>0.7000000000000001</v>
      </c>
      <c r="K55" s="16">
        <f t="shared" si="10"/>
        <v>0.7000000000000001</v>
      </c>
      <c r="L55" s="16">
        <f t="shared" si="11"/>
        <v>0.7000000000000001</v>
      </c>
      <c r="M55" s="16">
        <f t="shared" si="12"/>
        <v>0</v>
      </c>
    </row>
    <row r="56" spans="1:13" ht="12.75">
      <c r="A56" s="8">
        <v>3</v>
      </c>
      <c r="B56" s="3" t="s">
        <v>494</v>
      </c>
      <c r="C56" s="4" t="s">
        <v>15</v>
      </c>
      <c r="D56" s="4" t="s">
        <v>40</v>
      </c>
      <c r="E56" s="4">
        <v>2011</v>
      </c>
      <c r="F56" s="30">
        <v>1.2</v>
      </c>
      <c r="G56" s="4">
        <v>2015</v>
      </c>
      <c r="I56" s="16">
        <f t="shared" si="8"/>
        <v>0.4</v>
      </c>
      <c r="J56" s="16">
        <f t="shared" si="9"/>
        <v>0.4</v>
      </c>
      <c r="K56" s="16">
        <f t="shared" si="10"/>
        <v>0.4</v>
      </c>
      <c r="L56" s="16">
        <f t="shared" si="11"/>
        <v>0.4</v>
      </c>
      <c r="M56" s="16">
        <f t="shared" si="12"/>
        <v>0</v>
      </c>
    </row>
    <row r="57" spans="1:13" ht="12.75">
      <c r="A57" s="8">
        <v>4</v>
      </c>
      <c r="B57" s="21" t="s">
        <v>365</v>
      </c>
      <c r="C57" s="4" t="s">
        <v>19</v>
      </c>
      <c r="D57" s="47" t="s">
        <v>34</v>
      </c>
      <c r="E57" s="13">
        <v>2011</v>
      </c>
      <c r="F57" s="14">
        <v>3.55</v>
      </c>
      <c r="G57" s="1">
        <v>2014</v>
      </c>
      <c r="I57" s="16">
        <f t="shared" si="8"/>
        <v>1.1</v>
      </c>
      <c r="J57" s="16">
        <f t="shared" si="9"/>
        <v>1.1</v>
      </c>
      <c r="K57" s="16">
        <f t="shared" si="10"/>
        <v>1.1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366</v>
      </c>
      <c r="C58" s="4" t="s">
        <v>38</v>
      </c>
      <c r="D58" s="47" t="s">
        <v>34</v>
      </c>
      <c r="E58" s="13">
        <v>2011</v>
      </c>
      <c r="F58" s="14">
        <v>2.85</v>
      </c>
      <c r="G58" s="1">
        <v>2014</v>
      </c>
      <c r="I58" s="16">
        <f t="shared" si="8"/>
        <v>0.9</v>
      </c>
      <c r="J58" s="16">
        <f t="shared" si="9"/>
        <v>0.9</v>
      </c>
      <c r="K58" s="16">
        <f t="shared" si="10"/>
        <v>0.9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608</v>
      </c>
      <c r="C59" s="4" t="s">
        <v>19</v>
      </c>
      <c r="D59" s="4" t="s">
        <v>24</v>
      </c>
      <c r="E59" s="4">
        <v>2012</v>
      </c>
      <c r="F59" s="30">
        <v>1.3</v>
      </c>
      <c r="G59" s="4">
        <v>2014</v>
      </c>
      <c r="I59" s="16">
        <f t="shared" si="8"/>
        <v>1.3</v>
      </c>
      <c r="J59" s="16">
        <f t="shared" si="9"/>
        <v>0.4</v>
      </c>
      <c r="K59" s="16">
        <f t="shared" si="10"/>
        <v>0.4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220</v>
      </c>
      <c r="C60" s="4" t="s">
        <v>17</v>
      </c>
      <c r="D60" s="4" t="s">
        <v>116</v>
      </c>
      <c r="E60" s="13">
        <v>2012</v>
      </c>
      <c r="F60" s="14">
        <v>11.15</v>
      </c>
      <c r="G60" s="1">
        <v>2013</v>
      </c>
      <c r="I60" s="16">
        <f t="shared" si="8"/>
        <v>11.15</v>
      </c>
      <c r="J60" s="16">
        <f t="shared" si="9"/>
        <v>3.35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231</v>
      </c>
      <c r="C61" s="4" t="s">
        <v>17</v>
      </c>
      <c r="D61" s="4" t="s">
        <v>24</v>
      </c>
      <c r="E61" s="13">
        <v>2011</v>
      </c>
      <c r="F61" s="14">
        <v>9.1</v>
      </c>
      <c r="G61" s="1">
        <v>2013</v>
      </c>
      <c r="I61" s="16">
        <f t="shared" si="8"/>
        <v>2.75</v>
      </c>
      <c r="J61" s="16">
        <f t="shared" si="9"/>
        <v>2.75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 t="s">
        <v>239</v>
      </c>
      <c r="C62" s="4" t="s">
        <v>17</v>
      </c>
      <c r="D62" s="4" t="s">
        <v>22</v>
      </c>
      <c r="E62" s="13">
        <v>2010</v>
      </c>
      <c r="F62" s="16">
        <v>6.25</v>
      </c>
      <c r="G62" s="13">
        <v>2013</v>
      </c>
      <c r="I62" s="16">
        <f>+CEILING(IF($I$52=E62,F62,IF($I$52&lt;=G62,F62*0.3,0)),0.05)</f>
        <v>1.9000000000000001</v>
      </c>
      <c r="J62" s="16">
        <f>+CEILING(IF($J$52&lt;=G62,F62*0.3,0),0.05)</f>
        <v>1.9000000000000001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21" t="s">
        <v>265</v>
      </c>
      <c r="C63" s="4" t="s">
        <v>38</v>
      </c>
      <c r="D63" s="4" t="s">
        <v>116</v>
      </c>
      <c r="E63" s="13">
        <v>2010</v>
      </c>
      <c r="F63" s="14">
        <v>4.65</v>
      </c>
      <c r="G63" s="1">
        <v>2013</v>
      </c>
      <c r="I63" s="16">
        <f>+CEILING(IF($I$52=E63,F63,IF($I$52&lt;=G63,F63*0.3,0)),0.05)</f>
        <v>1.4000000000000001</v>
      </c>
      <c r="J63" s="16">
        <f>+CEILING(IF($J$52&lt;=G63,F63*0.3,0),0.05)</f>
        <v>1.4000000000000001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34" t="s">
        <v>470</v>
      </c>
      <c r="C64" s="4" t="s">
        <v>19</v>
      </c>
      <c r="D64" s="4" t="s">
        <v>32</v>
      </c>
      <c r="E64" s="13">
        <v>2012</v>
      </c>
      <c r="F64" s="14">
        <v>3.75</v>
      </c>
      <c r="G64" s="1">
        <v>2013</v>
      </c>
      <c r="I64" s="16">
        <f>+CEILING(IF($I$52=E64,F64,IF($I$52&lt;=G64,F64*0.3,0)),0.05)</f>
        <v>3.75</v>
      </c>
      <c r="J64" s="16">
        <f>+CEILING(IF($J$52&lt;=G64,F64*0.3,0),0.05)</f>
        <v>1.1500000000000001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46" t="s">
        <v>472</v>
      </c>
      <c r="C65" s="47" t="s">
        <v>19</v>
      </c>
      <c r="D65" s="47" t="s">
        <v>33</v>
      </c>
      <c r="E65" s="13">
        <v>2011</v>
      </c>
      <c r="F65" s="14">
        <v>1.85</v>
      </c>
      <c r="G65" s="1">
        <v>2013</v>
      </c>
      <c r="I65" s="16">
        <f aca="true" t="shared" si="13" ref="I65:I72">+CEILING(IF($I$52=E65,F65,IF($I$52&lt;=G65,F65*0.3,0)),0.05)</f>
        <v>0.6000000000000001</v>
      </c>
      <c r="J65" s="16">
        <f aca="true" t="shared" si="14" ref="J65:J72">+CEILING(IF($J$52&lt;=G65,F65*0.3,0),0.05)</f>
        <v>0.6000000000000001</v>
      </c>
      <c r="K65" s="16">
        <f aca="true" t="shared" si="15" ref="K65:K72">+CEILING(IF($K$52&lt;=G65,F65*0.3,0),0.05)</f>
        <v>0</v>
      </c>
      <c r="L65" s="16">
        <f aca="true" t="shared" si="16" ref="L65:L72">+CEILING(IF($L$52&lt;=G65,F65*0.3,0),0.05)</f>
        <v>0</v>
      </c>
      <c r="M65" s="16">
        <f aca="true" t="shared" si="17" ref="M65:M72">CEILING(IF($M$52&lt;=G65,F65*0.3,0),0.05)</f>
        <v>0</v>
      </c>
    </row>
    <row r="66" spans="1:13" ht="12.75">
      <c r="A66" s="8">
        <v>13</v>
      </c>
      <c r="B66" s="21" t="s">
        <v>338</v>
      </c>
      <c r="C66" s="4" t="s">
        <v>17</v>
      </c>
      <c r="D66" s="4" t="s">
        <v>44</v>
      </c>
      <c r="E66" s="13">
        <v>2011</v>
      </c>
      <c r="F66" s="14">
        <v>7.85</v>
      </c>
      <c r="G66" s="2">
        <v>2012</v>
      </c>
      <c r="I66" s="16">
        <f t="shared" si="13"/>
        <v>2.4000000000000004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21" t="s">
        <v>133</v>
      </c>
      <c r="C67" s="4" t="s">
        <v>18</v>
      </c>
      <c r="D67" s="4" t="s">
        <v>57</v>
      </c>
      <c r="E67" s="13">
        <v>2009</v>
      </c>
      <c r="F67" s="14">
        <v>6.9</v>
      </c>
      <c r="G67" s="1">
        <v>2012</v>
      </c>
      <c r="I67" s="16">
        <f t="shared" si="13"/>
        <v>2.1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21" t="s">
        <v>84</v>
      </c>
      <c r="C68" s="4" t="s">
        <v>17</v>
      </c>
      <c r="D68" s="4" t="s">
        <v>45</v>
      </c>
      <c r="E68" s="13">
        <v>2010</v>
      </c>
      <c r="F68" s="14">
        <v>6.3</v>
      </c>
      <c r="G68" s="1">
        <v>2012</v>
      </c>
      <c r="I68" s="16">
        <f t="shared" si="13"/>
        <v>1.9000000000000001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 t="s">
        <v>250</v>
      </c>
      <c r="C69" s="4" t="s">
        <v>38</v>
      </c>
      <c r="D69" s="4" t="s">
        <v>101</v>
      </c>
      <c r="E69" s="13">
        <v>2009</v>
      </c>
      <c r="F69" s="14">
        <v>4.05</v>
      </c>
      <c r="G69" s="2">
        <v>2012</v>
      </c>
      <c r="I69" s="16">
        <f>+CEILING(IF($I$52=E69,F69,IF($I$52&lt;=G69,F69*0.3,0)),0.05)</f>
        <v>1.25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 t="s">
        <v>83</v>
      </c>
      <c r="C70" s="4" t="s">
        <v>26</v>
      </c>
      <c r="D70" s="47" t="s">
        <v>33</v>
      </c>
      <c r="E70" s="13">
        <v>2011</v>
      </c>
      <c r="F70" s="14">
        <v>2.85</v>
      </c>
      <c r="G70" s="1">
        <v>2012</v>
      </c>
      <c r="I70" s="16">
        <f>+CEILING(IF($I$52=E70,F70,IF($I$52&lt;=G70,F70*0.3,0)),0.05)</f>
        <v>0.9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4" t="s">
        <v>238</v>
      </c>
      <c r="C71" s="4" t="s">
        <v>41</v>
      </c>
      <c r="D71" s="47" t="s">
        <v>48</v>
      </c>
      <c r="E71" s="13">
        <v>2012</v>
      </c>
      <c r="F71" s="14">
        <v>1.3</v>
      </c>
      <c r="G71" s="1">
        <v>2012</v>
      </c>
      <c r="I71" s="16">
        <f>+CEILING(IF($I$52=E71,F71,IF($I$52&lt;=G71,F71*0.3,0)),0.05)</f>
        <v>1.3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1:13" ht="12.75">
      <c r="A72" s="8">
        <v>19</v>
      </c>
      <c r="B72" s="3" t="s">
        <v>703</v>
      </c>
      <c r="C72" s="4" t="s">
        <v>38</v>
      </c>
      <c r="D72" s="4" t="s">
        <v>93</v>
      </c>
      <c r="E72" s="4">
        <v>2012</v>
      </c>
      <c r="F72" s="9">
        <v>1.3</v>
      </c>
      <c r="G72" s="10">
        <v>2012</v>
      </c>
      <c r="I72" s="16">
        <f t="shared" si="13"/>
        <v>1.3</v>
      </c>
      <c r="J72" s="16">
        <f t="shared" si="14"/>
        <v>0</v>
      </c>
      <c r="K72" s="16">
        <f t="shared" si="15"/>
        <v>0</v>
      </c>
      <c r="L72" s="16">
        <f t="shared" si="16"/>
        <v>0</v>
      </c>
      <c r="M72" s="16">
        <f t="shared" si="17"/>
        <v>0</v>
      </c>
    </row>
    <row r="73" spans="1:13" ht="12.75">
      <c r="A73" s="8">
        <v>20</v>
      </c>
      <c r="B73" s="3" t="s">
        <v>733</v>
      </c>
      <c r="C73" s="4" t="s">
        <v>38</v>
      </c>
      <c r="D73" s="4" t="s">
        <v>33</v>
      </c>
      <c r="E73" s="4">
        <v>2012</v>
      </c>
      <c r="F73" s="9">
        <v>1.3</v>
      </c>
      <c r="G73" s="10">
        <v>2012</v>
      </c>
      <c r="I73" s="16">
        <f aca="true" t="shared" si="18" ref="I73:I79">+CEILING(IF($I$52=E73,F73,IF($I$52&lt;=G73,F73*0.3,0)),0.05)</f>
        <v>1.3</v>
      </c>
      <c r="J73" s="16">
        <f aca="true" t="shared" si="19" ref="J73:J79">+CEILING(IF($J$52&lt;=G73,F73*0.3,0),0.05)</f>
        <v>0</v>
      </c>
      <c r="K73" s="16">
        <f aca="true" t="shared" si="20" ref="K73:K79">+CEILING(IF($K$52&lt;=G73,F73*0.3,0),0.05)</f>
        <v>0</v>
      </c>
      <c r="L73" s="16">
        <f aca="true" t="shared" si="21" ref="L73:L79">+CEILING(IF($L$52&lt;=G73,F73*0.3,0),0.05)</f>
        <v>0</v>
      </c>
      <c r="M73" s="16">
        <f aca="true" t="shared" si="22" ref="M73:M79">CEILING(IF($M$52&lt;=G73,F73*0.3,0),0.05)</f>
        <v>0</v>
      </c>
    </row>
    <row r="74" spans="1:13" ht="12.75">
      <c r="A74" s="8">
        <v>21</v>
      </c>
      <c r="B74" s="34" t="s">
        <v>719</v>
      </c>
      <c r="C74" s="4" t="s">
        <v>15</v>
      </c>
      <c r="D74" s="47" t="s">
        <v>28</v>
      </c>
      <c r="E74" s="13">
        <v>2012</v>
      </c>
      <c r="F74" s="14">
        <v>1.3</v>
      </c>
      <c r="G74" s="1">
        <v>2012</v>
      </c>
      <c r="I74" s="16">
        <f t="shared" si="18"/>
        <v>1.3</v>
      </c>
      <c r="J74" s="16">
        <f t="shared" si="19"/>
        <v>0</v>
      </c>
      <c r="K74" s="16">
        <f t="shared" si="20"/>
        <v>0</v>
      </c>
      <c r="L74" s="16">
        <f t="shared" si="21"/>
        <v>0</v>
      </c>
      <c r="M74" s="16">
        <f t="shared" si="22"/>
        <v>0</v>
      </c>
    </row>
    <row r="75" spans="1:13" ht="12.75">
      <c r="A75" s="8">
        <v>22</v>
      </c>
      <c r="B75" s="34" t="s">
        <v>691</v>
      </c>
      <c r="C75" s="4" t="s">
        <v>15</v>
      </c>
      <c r="D75" s="47" t="s">
        <v>16</v>
      </c>
      <c r="E75" s="13">
        <v>2012</v>
      </c>
      <c r="F75" s="14">
        <v>1.3</v>
      </c>
      <c r="G75" s="1">
        <v>2012</v>
      </c>
      <c r="I75" s="16">
        <f t="shared" si="18"/>
        <v>1.3</v>
      </c>
      <c r="J75" s="16">
        <f t="shared" si="19"/>
        <v>0</v>
      </c>
      <c r="K75" s="16">
        <f t="shared" si="20"/>
        <v>0</v>
      </c>
      <c r="L75" s="16">
        <f t="shared" si="21"/>
        <v>0</v>
      </c>
      <c r="M75" s="16">
        <f t="shared" si="22"/>
        <v>0</v>
      </c>
    </row>
    <row r="76" spans="1:13" ht="12.75">
      <c r="A76" s="8">
        <v>23</v>
      </c>
      <c r="B76" s="46" t="s">
        <v>698</v>
      </c>
      <c r="C76" s="4" t="s">
        <v>38</v>
      </c>
      <c r="D76" s="47" t="s">
        <v>27</v>
      </c>
      <c r="E76" s="13">
        <v>2012</v>
      </c>
      <c r="F76" s="14">
        <v>1.3</v>
      </c>
      <c r="G76" s="1">
        <v>2012</v>
      </c>
      <c r="I76" s="16">
        <f t="shared" si="18"/>
        <v>1.3</v>
      </c>
      <c r="J76" s="16">
        <f t="shared" si="19"/>
        <v>0</v>
      </c>
      <c r="K76" s="16">
        <f t="shared" si="20"/>
        <v>0</v>
      </c>
      <c r="L76" s="16">
        <f t="shared" si="21"/>
        <v>0</v>
      </c>
      <c r="M76" s="16">
        <f t="shared" si="22"/>
        <v>0</v>
      </c>
    </row>
    <row r="77" spans="1:13" ht="12.75">
      <c r="A77" s="8">
        <v>24</v>
      </c>
      <c r="B77" s="3" t="s">
        <v>758</v>
      </c>
      <c r="C77" s="4" t="s">
        <v>19</v>
      </c>
      <c r="D77" s="4" t="s">
        <v>39</v>
      </c>
      <c r="E77" s="4">
        <v>2012</v>
      </c>
      <c r="F77" s="30">
        <v>1.3</v>
      </c>
      <c r="G77" s="4">
        <v>2012</v>
      </c>
      <c r="I77" s="16">
        <f t="shared" si="18"/>
        <v>1.3</v>
      </c>
      <c r="J77" s="16">
        <f t="shared" si="19"/>
        <v>0</v>
      </c>
      <c r="K77" s="16">
        <f t="shared" si="20"/>
        <v>0</v>
      </c>
      <c r="L77" s="16">
        <f t="shared" si="21"/>
        <v>0</v>
      </c>
      <c r="M77" s="16">
        <f t="shared" si="22"/>
        <v>0</v>
      </c>
    </row>
    <row r="78" spans="1:13" ht="12.75">
      <c r="A78" s="8">
        <v>25</v>
      </c>
      <c r="B78" s="3" t="s">
        <v>743</v>
      </c>
      <c r="C78" s="4" t="s">
        <v>38</v>
      </c>
      <c r="D78" s="4" t="s">
        <v>16</v>
      </c>
      <c r="E78" s="4">
        <v>2012</v>
      </c>
      <c r="F78" s="9">
        <v>1.3</v>
      </c>
      <c r="G78" s="10">
        <v>2012</v>
      </c>
      <c r="I78" s="16">
        <f t="shared" si="18"/>
        <v>1.3</v>
      </c>
      <c r="J78" s="16">
        <f t="shared" si="19"/>
        <v>0</v>
      </c>
      <c r="K78" s="16">
        <f t="shared" si="20"/>
        <v>0</v>
      </c>
      <c r="L78" s="16">
        <f t="shared" si="21"/>
        <v>0</v>
      </c>
      <c r="M78" s="16">
        <f t="shared" si="22"/>
        <v>0</v>
      </c>
    </row>
    <row r="79" spans="1:13" ht="12.75">
      <c r="A79" s="8">
        <v>26</v>
      </c>
      <c r="B79" s="34" t="s">
        <v>750</v>
      </c>
      <c r="C79" s="4" t="s">
        <v>19</v>
      </c>
      <c r="D79" s="47" t="s">
        <v>32</v>
      </c>
      <c r="E79" s="13">
        <v>2012</v>
      </c>
      <c r="F79" s="14">
        <v>1.3</v>
      </c>
      <c r="G79" s="1">
        <v>2012</v>
      </c>
      <c r="I79" s="16">
        <f t="shared" si="18"/>
        <v>1.3</v>
      </c>
      <c r="J79" s="16">
        <f t="shared" si="19"/>
        <v>0</v>
      </c>
      <c r="K79" s="16">
        <f t="shared" si="20"/>
        <v>0</v>
      </c>
      <c r="L79" s="16">
        <f t="shared" si="21"/>
        <v>0</v>
      </c>
      <c r="M79" s="16">
        <f t="shared" si="22"/>
        <v>0</v>
      </c>
    </row>
    <row r="80" spans="1:13" ht="12.75">
      <c r="A80" s="8">
        <v>27</v>
      </c>
      <c r="B80" s="34" t="s">
        <v>744</v>
      </c>
      <c r="C80" s="4" t="s">
        <v>41</v>
      </c>
      <c r="D80" s="47" t="s">
        <v>101</v>
      </c>
      <c r="E80" s="13">
        <v>2012</v>
      </c>
      <c r="F80" s="14">
        <v>1.3</v>
      </c>
      <c r="G80" s="1">
        <v>2012</v>
      </c>
      <c r="I80" s="16">
        <f>+CEILING(IF($I$52=E80,F80,IF($I$52&lt;=G80,F80*0.3,0)),0.05)</f>
        <v>1.3</v>
      </c>
      <c r="J80" s="16">
        <f>+CEILING(IF($J$52&lt;=G80,F80*0.3,0),0.05)</f>
        <v>0</v>
      </c>
      <c r="K80" s="16">
        <f>+CEILING(IF($K$52&lt;=G80,F80*0.3,0),0.05)</f>
        <v>0</v>
      </c>
      <c r="L80" s="16">
        <f>+CEILING(IF($L$52&lt;=G80,F80*0.3,0),0.05)</f>
        <v>0</v>
      </c>
      <c r="M80" s="16">
        <f>CEILING(IF($M$52&lt;=G80,F80*0.3,0),0.05)</f>
        <v>0</v>
      </c>
    </row>
    <row r="81" spans="1:13" ht="12.75">
      <c r="A81" s="8">
        <v>28</v>
      </c>
      <c r="B81" s="34" t="s">
        <v>768</v>
      </c>
      <c r="C81" s="4" t="s">
        <v>17</v>
      </c>
      <c r="D81" s="47" t="s">
        <v>40</v>
      </c>
      <c r="E81" s="13">
        <v>2012</v>
      </c>
      <c r="F81" s="14">
        <v>1.3</v>
      </c>
      <c r="G81" s="1">
        <v>2012</v>
      </c>
      <c r="I81" s="16">
        <f aca="true" t="shared" si="23" ref="I81:I87">+CEILING(IF($I$52=E81,F81,IF($I$52&lt;=G81,F81*0.3,0)),0.05)</f>
        <v>1.3</v>
      </c>
      <c r="J81" s="16">
        <f aca="true" t="shared" si="24" ref="J81:J87">+CEILING(IF($J$52&lt;=G81,F81*0.3,0),0.05)</f>
        <v>0</v>
      </c>
      <c r="K81" s="16">
        <f aca="true" t="shared" si="25" ref="K81:K87">+CEILING(IF($K$52&lt;=G81,F81*0.3,0),0.05)</f>
        <v>0</v>
      </c>
      <c r="L81" s="16">
        <f aca="true" t="shared" si="26" ref="L81:L87">+CEILING(IF($L$52&lt;=G81,F81*0.3,0),0.05)</f>
        <v>0</v>
      </c>
      <c r="M81" s="16">
        <f aca="true" t="shared" si="27" ref="M81:M87">CEILING(IF($M$52&lt;=G81,F81*0.3,0),0.05)</f>
        <v>0</v>
      </c>
    </row>
    <row r="82" spans="1:13" ht="12.75">
      <c r="A82" s="8">
        <v>29</v>
      </c>
      <c r="B82" s="34" t="s">
        <v>771</v>
      </c>
      <c r="C82" s="4" t="s">
        <v>26</v>
      </c>
      <c r="D82" s="47" t="s">
        <v>48</v>
      </c>
      <c r="E82" s="13">
        <v>2012</v>
      </c>
      <c r="F82" s="14">
        <v>1.3</v>
      </c>
      <c r="G82" s="1">
        <v>2012</v>
      </c>
      <c r="I82" s="16">
        <f t="shared" si="23"/>
        <v>1.3</v>
      </c>
      <c r="J82" s="16">
        <f t="shared" si="24"/>
        <v>0</v>
      </c>
      <c r="K82" s="16">
        <f t="shared" si="25"/>
        <v>0</v>
      </c>
      <c r="L82" s="16">
        <f t="shared" si="26"/>
        <v>0</v>
      </c>
      <c r="M82" s="16">
        <f t="shared" si="27"/>
        <v>0</v>
      </c>
    </row>
    <row r="83" spans="1:13" ht="12.75">
      <c r="A83" s="8">
        <v>30</v>
      </c>
      <c r="B83" s="46" t="s">
        <v>761</v>
      </c>
      <c r="C83" s="4" t="s">
        <v>19</v>
      </c>
      <c r="D83" s="4" t="s">
        <v>50</v>
      </c>
      <c r="E83" s="13">
        <v>2012</v>
      </c>
      <c r="F83" s="14">
        <v>1.3</v>
      </c>
      <c r="G83" s="1">
        <v>2012</v>
      </c>
      <c r="I83" s="16">
        <f t="shared" si="23"/>
        <v>1.3</v>
      </c>
      <c r="J83" s="16">
        <f t="shared" si="24"/>
        <v>0</v>
      </c>
      <c r="K83" s="16">
        <f t="shared" si="25"/>
        <v>0</v>
      </c>
      <c r="L83" s="16">
        <f t="shared" si="26"/>
        <v>0</v>
      </c>
      <c r="M83" s="16">
        <f t="shared" si="27"/>
        <v>0</v>
      </c>
    </row>
    <row r="84" spans="1:13" ht="12.75">
      <c r="A84" s="8">
        <v>31</v>
      </c>
      <c r="B84" s="3" t="s">
        <v>759</v>
      </c>
      <c r="C84" s="4" t="s">
        <v>15</v>
      </c>
      <c r="D84" s="4" t="s">
        <v>27</v>
      </c>
      <c r="E84" s="4">
        <v>2012</v>
      </c>
      <c r="F84" s="30">
        <v>1.3</v>
      </c>
      <c r="G84" s="4">
        <v>2012</v>
      </c>
      <c r="I84" s="16">
        <f t="shared" si="23"/>
        <v>1.3</v>
      </c>
      <c r="J84" s="16">
        <f t="shared" si="24"/>
        <v>0</v>
      </c>
      <c r="K84" s="16">
        <f t="shared" si="25"/>
        <v>0</v>
      </c>
      <c r="L84" s="16">
        <f t="shared" si="26"/>
        <v>0</v>
      </c>
      <c r="M84" s="16">
        <f t="shared" si="27"/>
        <v>0</v>
      </c>
    </row>
    <row r="85" spans="1:13" ht="12.75">
      <c r="A85" s="8">
        <v>32</v>
      </c>
      <c r="B85" s="46" t="s">
        <v>779</v>
      </c>
      <c r="C85" s="4" t="s">
        <v>17</v>
      </c>
      <c r="D85" s="4" t="s">
        <v>48</v>
      </c>
      <c r="E85" s="13">
        <v>2012</v>
      </c>
      <c r="F85" s="14">
        <v>1.3</v>
      </c>
      <c r="G85" s="1">
        <v>2012</v>
      </c>
      <c r="I85" s="16">
        <f t="shared" si="23"/>
        <v>1.3</v>
      </c>
      <c r="J85" s="16">
        <f t="shared" si="24"/>
        <v>0</v>
      </c>
      <c r="K85" s="16">
        <f t="shared" si="25"/>
        <v>0</v>
      </c>
      <c r="L85" s="16">
        <f t="shared" si="26"/>
        <v>0</v>
      </c>
      <c r="M85" s="16">
        <f t="shared" si="27"/>
        <v>0</v>
      </c>
    </row>
    <row r="86" spans="1:13" ht="12.75">
      <c r="A86" s="8">
        <v>33</v>
      </c>
      <c r="B86" s="3" t="s">
        <v>780</v>
      </c>
      <c r="C86" s="4" t="s">
        <v>19</v>
      </c>
      <c r="D86" s="4" t="s">
        <v>48</v>
      </c>
      <c r="E86" s="4">
        <v>2012</v>
      </c>
      <c r="F86" s="30">
        <v>1.3</v>
      </c>
      <c r="G86" s="4">
        <v>2012</v>
      </c>
      <c r="I86" s="16">
        <f t="shared" si="23"/>
        <v>1.3</v>
      </c>
      <c r="J86" s="16">
        <f t="shared" si="24"/>
        <v>0</v>
      </c>
      <c r="K86" s="16">
        <f t="shared" si="25"/>
        <v>0</v>
      </c>
      <c r="L86" s="16">
        <f t="shared" si="26"/>
        <v>0</v>
      </c>
      <c r="M86" s="16">
        <f t="shared" si="27"/>
        <v>0</v>
      </c>
    </row>
    <row r="87" spans="1:13" ht="12.75">
      <c r="A87" s="8">
        <v>34</v>
      </c>
      <c r="B87" s="34" t="s">
        <v>608</v>
      </c>
      <c r="C87" s="4" t="s">
        <v>19</v>
      </c>
      <c r="D87" s="4" t="s">
        <v>24</v>
      </c>
      <c r="E87" s="13">
        <v>2012</v>
      </c>
      <c r="F87" s="14">
        <v>1.3</v>
      </c>
      <c r="G87" s="1">
        <v>2012</v>
      </c>
      <c r="I87" s="16">
        <f t="shared" si="23"/>
        <v>1.3</v>
      </c>
      <c r="J87" s="16">
        <f t="shared" si="24"/>
        <v>0</v>
      </c>
      <c r="K87" s="16">
        <f t="shared" si="25"/>
        <v>0</v>
      </c>
      <c r="L87" s="16">
        <f t="shared" si="26"/>
        <v>0</v>
      </c>
      <c r="M87" s="16">
        <f t="shared" si="27"/>
        <v>0</v>
      </c>
    </row>
    <row r="88" spans="1:13" ht="12.75">
      <c r="A88" s="8">
        <v>35</v>
      </c>
      <c r="B88" s="34" t="s">
        <v>775</v>
      </c>
      <c r="C88" s="4" t="s">
        <v>17</v>
      </c>
      <c r="D88" s="47" t="s">
        <v>45</v>
      </c>
      <c r="E88" s="13">
        <v>2012</v>
      </c>
      <c r="F88" s="14">
        <v>1.3</v>
      </c>
      <c r="G88" s="1">
        <v>2012</v>
      </c>
      <c r="I88" s="16">
        <f aca="true" t="shared" si="28" ref="I88:I95">+CEILING(IF($I$52=E88,F88,IF($I$52&lt;=G88,F88*0.3,0)),0.05)</f>
        <v>1.3</v>
      </c>
      <c r="J88" s="16">
        <f aca="true" t="shared" si="29" ref="J88:J95">+CEILING(IF($J$52&lt;=G88,F88*0.3,0),0.05)</f>
        <v>0</v>
      </c>
      <c r="K88" s="16">
        <f aca="true" t="shared" si="30" ref="K88:K95">+CEILING(IF($K$52&lt;=G88,F88*0.3,0),0.05)</f>
        <v>0</v>
      </c>
      <c r="L88" s="16">
        <f aca="true" t="shared" si="31" ref="L88:L95">+CEILING(IF($L$52&lt;=G88,F88*0.3,0),0.05)</f>
        <v>0</v>
      </c>
      <c r="M88" s="16">
        <f aca="true" t="shared" si="32" ref="M88:M95">CEILING(IF($M$52&lt;=G88,F88*0.3,0),0.05)</f>
        <v>0</v>
      </c>
    </row>
    <row r="89" spans="1:13" ht="12.75">
      <c r="A89" s="8">
        <v>36</v>
      </c>
      <c r="B89" s="46" t="s">
        <v>783</v>
      </c>
      <c r="C89" s="4" t="s">
        <v>17</v>
      </c>
      <c r="D89" s="4" t="s">
        <v>116</v>
      </c>
      <c r="E89" s="13">
        <v>2012</v>
      </c>
      <c r="F89" s="14">
        <v>1.3</v>
      </c>
      <c r="G89" s="1">
        <v>2012</v>
      </c>
      <c r="I89" s="16">
        <f t="shared" si="28"/>
        <v>1.3</v>
      </c>
      <c r="J89" s="16">
        <f t="shared" si="29"/>
        <v>0</v>
      </c>
      <c r="K89" s="16">
        <f t="shared" si="30"/>
        <v>0</v>
      </c>
      <c r="L89" s="16">
        <f t="shared" si="31"/>
        <v>0</v>
      </c>
      <c r="M89" s="16">
        <f t="shared" si="32"/>
        <v>0</v>
      </c>
    </row>
    <row r="90" spans="1:13" ht="12.75">
      <c r="A90" s="8">
        <v>37</v>
      </c>
      <c r="B90" s="34" t="s">
        <v>784</v>
      </c>
      <c r="C90" s="4" t="s">
        <v>19</v>
      </c>
      <c r="D90" s="4" t="s">
        <v>27</v>
      </c>
      <c r="E90" s="13">
        <v>2012</v>
      </c>
      <c r="F90" s="14">
        <v>1.3</v>
      </c>
      <c r="G90" s="1">
        <v>2012</v>
      </c>
      <c r="I90" s="16">
        <f t="shared" si="28"/>
        <v>1.3</v>
      </c>
      <c r="J90" s="16">
        <f t="shared" si="29"/>
        <v>0</v>
      </c>
      <c r="K90" s="16">
        <f t="shared" si="30"/>
        <v>0</v>
      </c>
      <c r="L90" s="16">
        <f t="shared" si="31"/>
        <v>0</v>
      </c>
      <c r="M90" s="16">
        <f t="shared" si="32"/>
        <v>0</v>
      </c>
    </row>
    <row r="91" spans="1:13" ht="12.75">
      <c r="A91" s="8">
        <v>38</v>
      </c>
      <c r="B91" s="34" t="s">
        <v>787</v>
      </c>
      <c r="C91" s="4" t="s">
        <v>17</v>
      </c>
      <c r="D91" s="47" t="s">
        <v>27</v>
      </c>
      <c r="E91" s="13">
        <v>2012</v>
      </c>
      <c r="F91" s="14">
        <v>1.3</v>
      </c>
      <c r="G91" s="1">
        <v>2012</v>
      </c>
      <c r="I91" s="16">
        <f t="shared" si="28"/>
        <v>1.3</v>
      </c>
      <c r="J91" s="16">
        <f t="shared" si="29"/>
        <v>0</v>
      </c>
      <c r="K91" s="16">
        <f t="shared" si="30"/>
        <v>0</v>
      </c>
      <c r="L91" s="16">
        <f t="shared" si="31"/>
        <v>0</v>
      </c>
      <c r="M91" s="16">
        <f t="shared" si="32"/>
        <v>0</v>
      </c>
    </row>
    <row r="92" spans="1:13" ht="12.75">
      <c r="A92" s="8">
        <v>39</v>
      </c>
      <c r="B92" s="34" t="s">
        <v>513</v>
      </c>
      <c r="C92" s="4" t="s">
        <v>18</v>
      </c>
      <c r="D92" s="47" t="s">
        <v>40</v>
      </c>
      <c r="E92" s="13">
        <v>2012</v>
      </c>
      <c r="F92" s="14">
        <v>1.3</v>
      </c>
      <c r="G92" s="1">
        <v>2012</v>
      </c>
      <c r="I92" s="16">
        <f t="shared" si="28"/>
        <v>1.3</v>
      </c>
      <c r="J92" s="16">
        <f t="shared" si="29"/>
        <v>0</v>
      </c>
      <c r="K92" s="16">
        <f t="shared" si="30"/>
        <v>0</v>
      </c>
      <c r="L92" s="16">
        <f t="shared" si="31"/>
        <v>0</v>
      </c>
      <c r="M92" s="16">
        <f t="shared" si="32"/>
        <v>0</v>
      </c>
    </row>
    <row r="93" spans="1:13" ht="12.75">
      <c r="A93" s="8">
        <v>40</v>
      </c>
      <c r="B93" s="46" t="s">
        <v>751</v>
      </c>
      <c r="C93" s="4" t="s">
        <v>38</v>
      </c>
      <c r="D93" s="47" t="s">
        <v>56</v>
      </c>
      <c r="E93" s="13">
        <v>2012</v>
      </c>
      <c r="F93" s="14">
        <v>1.3</v>
      </c>
      <c r="G93" s="1">
        <v>2012</v>
      </c>
      <c r="I93" s="16">
        <f t="shared" si="28"/>
        <v>1.3</v>
      </c>
      <c r="J93" s="16">
        <f t="shared" si="29"/>
        <v>0</v>
      </c>
      <c r="K93" s="16">
        <f t="shared" si="30"/>
        <v>0</v>
      </c>
      <c r="L93" s="16">
        <f t="shared" si="31"/>
        <v>0</v>
      </c>
      <c r="M93" s="16">
        <f t="shared" si="32"/>
        <v>0</v>
      </c>
    </row>
    <row r="94" spans="1:13" ht="12.75">
      <c r="A94" s="8">
        <v>41</v>
      </c>
      <c r="B94" s="21" t="s">
        <v>206</v>
      </c>
      <c r="C94" s="4" t="s">
        <v>31</v>
      </c>
      <c r="D94" s="4" t="s">
        <v>116</v>
      </c>
      <c r="E94" s="13">
        <v>2009</v>
      </c>
      <c r="F94" s="14">
        <v>1.05</v>
      </c>
      <c r="G94" s="1">
        <v>2012</v>
      </c>
      <c r="I94" s="16">
        <f t="shared" si="28"/>
        <v>0.35000000000000003</v>
      </c>
      <c r="J94" s="16">
        <f t="shared" si="29"/>
        <v>0</v>
      </c>
      <c r="K94" s="16">
        <f t="shared" si="30"/>
        <v>0</v>
      </c>
      <c r="L94" s="16">
        <f t="shared" si="31"/>
        <v>0</v>
      </c>
      <c r="M94" s="16">
        <f t="shared" si="32"/>
        <v>0</v>
      </c>
    </row>
    <row r="95" spans="1:13" ht="12.75">
      <c r="A95" s="8">
        <v>42</v>
      </c>
      <c r="B95" s="34"/>
      <c r="D95" s="47"/>
      <c r="E95" s="13"/>
      <c r="F95" s="14"/>
      <c r="G95" s="1"/>
      <c r="I95" s="16">
        <f t="shared" si="28"/>
        <v>0</v>
      </c>
      <c r="J95" s="16">
        <f t="shared" si="29"/>
        <v>0</v>
      </c>
      <c r="K95" s="16">
        <f t="shared" si="30"/>
        <v>0</v>
      </c>
      <c r="L95" s="16">
        <f t="shared" si="31"/>
        <v>0</v>
      </c>
      <c r="M95" s="16">
        <f t="shared" si="32"/>
        <v>0</v>
      </c>
    </row>
    <row r="96" spans="9:13" ht="7.5" customHeight="1">
      <c r="I96" s="15"/>
      <c r="J96" s="15"/>
      <c r="K96" s="15"/>
      <c r="L96" s="15"/>
      <c r="M96" s="15"/>
    </row>
    <row r="97" spans="9:13" ht="12.75">
      <c r="I97" s="17">
        <f>+SUM(I54:I96)</f>
        <v>67.04999999999993</v>
      </c>
      <c r="J97" s="17">
        <f>+SUM(J54:J96)</f>
        <v>15.450000000000001</v>
      </c>
      <c r="K97" s="17">
        <f>+SUM(K54:K96)</f>
        <v>4.3</v>
      </c>
      <c r="L97" s="17">
        <f>+SUM(L54:L96)</f>
        <v>1.9</v>
      </c>
      <c r="M97" s="17">
        <f>+SUM(M54:M96)</f>
        <v>0</v>
      </c>
    </row>
    <row r="98" spans="9:13" ht="12.75">
      <c r="I98" s="12"/>
      <c r="J98" s="12"/>
      <c r="K98" s="12"/>
      <c r="L98" s="12"/>
      <c r="M98" s="12"/>
    </row>
    <row r="99" spans="1:13" ht="15.75">
      <c r="A99" s="104" t="s">
        <v>52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9:13" ht="7.5" customHeight="1">
      <c r="I100" s="12"/>
      <c r="J100" s="12"/>
      <c r="K100" s="12"/>
      <c r="L100" s="12"/>
      <c r="M100" s="12"/>
    </row>
    <row r="101" spans="1:13" ht="12.75">
      <c r="A101" s="8"/>
      <c r="B101" s="5" t="s">
        <v>55</v>
      </c>
      <c r="C101" s="6"/>
      <c r="D101" s="6"/>
      <c r="E101" s="6"/>
      <c r="F101" s="6" t="s">
        <v>54</v>
      </c>
      <c r="G101" s="6" t="s">
        <v>53</v>
      </c>
      <c r="I101" s="7">
        <f>+I$3</f>
        <v>2012</v>
      </c>
      <c r="J101" s="7">
        <f>+J$3</f>
        <v>2013</v>
      </c>
      <c r="K101" s="7">
        <f>+K$3</f>
        <v>2014</v>
      </c>
      <c r="L101" s="7">
        <f>+L$3</f>
        <v>2015</v>
      </c>
      <c r="M101" s="7">
        <f>+M$3</f>
        <v>2016</v>
      </c>
    </row>
    <row r="102" spans="1:13" ht="7.5" customHeight="1">
      <c r="A102" s="8"/>
      <c r="I102" s="20"/>
      <c r="J102" s="20"/>
      <c r="K102" s="20"/>
      <c r="L102" s="20"/>
      <c r="M102" s="20"/>
    </row>
    <row r="103" spans="1:13" ht="12.75">
      <c r="A103" s="8">
        <v>1</v>
      </c>
      <c r="B103" s="102"/>
      <c r="C103" s="102"/>
      <c r="D103" s="102"/>
      <c r="E103" s="102"/>
      <c r="I103" s="20"/>
      <c r="J103" s="20"/>
      <c r="K103" s="20"/>
      <c r="L103" s="20"/>
      <c r="M103" s="20"/>
    </row>
    <row r="104" spans="1:13" ht="12.75">
      <c r="A104" s="8">
        <v>2</v>
      </c>
      <c r="B104" s="102"/>
      <c r="C104" s="102"/>
      <c r="D104" s="102"/>
      <c r="E104" s="102"/>
      <c r="I104" s="20"/>
      <c r="J104" s="20"/>
      <c r="K104" s="20"/>
      <c r="L104" s="20"/>
      <c r="M104" s="20"/>
    </row>
    <row r="105" spans="1:13" ht="7.5" customHeight="1">
      <c r="A105" s="8"/>
      <c r="I105" s="20"/>
      <c r="J105" s="20"/>
      <c r="K105" s="20"/>
      <c r="L105" s="20"/>
      <c r="M105" s="20"/>
    </row>
    <row r="106" spans="1:13" ht="12.75">
      <c r="A106" s="8"/>
      <c r="I106" s="12">
        <f>+SUM(I103:I105)</f>
        <v>0</v>
      </c>
      <c r="J106" s="12">
        <f>+SUM(J103:J105)</f>
        <v>0</v>
      </c>
      <c r="K106" s="12">
        <f>+SUM(K103:K105)</f>
        <v>0</v>
      </c>
      <c r="L106" s="12">
        <f>+SUM(L103:L105)</f>
        <v>0</v>
      </c>
      <c r="M106" s="12">
        <f>+SUM(M103:M105)</f>
        <v>0</v>
      </c>
    </row>
    <row r="107" spans="9:13" ht="12.75">
      <c r="I107" s="11"/>
      <c r="J107" s="11"/>
      <c r="K107" s="11"/>
      <c r="L107" s="11"/>
      <c r="M107" s="11"/>
    </row>
  </sheetData>
  <sheetProtection/>
  <mergeCells count="6">
    <mergeCell ref="B103:E103"/>
    <mergeCell ref="B104:E104"/>
    <mergeCell ref="A1:M1"/>
    <mergeCell ref="A36:M36"/>
    <mergeCell ref="A50:M50"/>
    <mergeCell ref="A99:M9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2014-11-15T22:16:55Z</dcterms:modified>
  <cp:category/>
  <cp:version/>
  <cp:contentType/>
  <cp:contentStatus/>
</cp:coreProperties>
</file>